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1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2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4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6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7.xml" ContentType="application/vnd.openxmlformats-officedocument.drawing+xml"/>
  <Override PartName="/xl/comments1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8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SEG_PLAN_DE_ACCIÓN_2021\SEG_PLAN_DE_ACCIÓN_2021_4T\"/>
    </mc:Choice>
  </mc:AlternateContent>
  <bookViews>
    <workbookView xWindow="-105" yWindow="-105" windowWidth="19425" windowHeight="10425" tabRatio="793"/>
  </bookViews>
  <sheets>
    <sheet name=" CONSOLIDADO GENERAL" sheetId="33" r:id="rId1"/>
    <sheet name="CONSOLIDADO DESCENTRALIZADOS" sheetId="51" r:id="rId2"/>
    <sheet name=" CONSOLIDADO NIVEL CENTRAL " sheetId="48" r:id="rId3"/>
    <sheet name="CONSOLIDADO SECRETARIAS" sheetId="49" r:id="rId4"/>
    <sheet name="CONSOLIDADO D.A" sheetId="50" r:id="rId5"/>
    <sheet name="1.DESPACHO" sheetId="1" r:id="rId6"/>
    <sheet name="2.1 GOBIERNO Y CONVIVENCIA" sheetId="19" r:id="rId7"/>
    <sheet name="2.2 DESARROLLO SOCIAL" sheetId="25" r:id="rId8"/>
    <sheet name="2.3 SALUD" sheetId="23" r:id="rId9"/>
    <sheet name="2.4 DESARROLLO ECONOMICO" sheetId="26" r:id="rId10"/>
    <sheet name="2.5 EDUCACION" sheetId="21" r:id="rId11"/>
    <sheet name="2.6 INFRAESTRUCTURA" sheetId="22" r:id="rId12"/>
    <sheet name="2.7 TRANSITO" sheetId="24" r:id="rId13"/>
    <sheet name="2.8 TICS" sheetId="30" r:id="rId14"/>
    <sheet name="2.9 HACIENDA" sheetId="27" r:id="rId15"/>
    <sheet name="3.1 FORTALECIMIENTO INSTITUCION" sheetId="20" r:id="rId16"/>
    <sheet name="3.2 JURIDICA" sheetId="18" r:id="rId17"/>
    <sheet name="3.4 BIENES Y SUMINISTROS" sheetId="29" r:id="rId18"/>
    <sheet name="3.5 PLANEACION" sheetId="17" r:id="rId19"/>
    <sheet name="3.6 CONTROL INTERNO" sheetId="28" r:id="rId20"/>
    <sheet name="3.7. DACID" sheetId="44" r:id="rId21"/>
    <sheet name="4.1 FOMVIVIENDA" sheetId="38" r:id="rId22"/>
    <sheet name="4.2 EDUA" sheetId="40" r:id="rId23"/>
    <sheet name="4.3 CORPOCULTURA" sheetId="32" r:id="rId24"/>
    <sheet name="4.4 IMDERA" sheetId="31" r:id="rId25"/>
    <sheet name="4.5 EPA" sheetId="39" r:id="rId26"/>
    <sheet name="4.6 AMABLE" sheetId="35" r:id="rId27"/>
    <sheet name="4.7 REDSALUD" sheetId="45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xlnm._FilterDatabase" localSheetId="0" hidden="1">' CONSOLIDADO GENERAL'!$A$2:$H$28</definedName>
    <definedName name="_xlnm._FilterDatabase" localSheetId="2" hidden="1">' CONSOLIDADO NIVEL CENTRAL '!$A$2:$G$21</definedName>
    <definedName name="_xlnm._FilterDatabase" localSheetId="6" hidden="1">'2.1 GOBIERNO Y CONVIVENCIA'!$G$2:$G$31</definedName>
    <definedName name="_xlnm._FilterDatabase" localSheetId="7" hidden="1">'2.2 DESARROLLO SOCIAL'!$A$3:$M$21</definedName>
    <definedName name="_xlnm._FilterDatabase" localSheetId="8" hidden="1">'2.3 SALUD'!$G$2:$G$41</definedName>
    <definedName name="_xlnm._FilterDatabase" localSheetId="9" hidden="1">'2.4 DESARROLLO ECONOMICO'!$B$1:$B$20</definedName>
    <definedName name="_xlnm._FilterDatabase" localSheetId="10" hidden="1">'2.5 EDUCACION'!$G$2:$G$54</definedName>
    <definedName name="_xlnm._FilterDatabase" localSheetId="18" hidden="1">'3.5 PLANEACION'!$B$2:$G$23</definedName>
    <definedName name="_xlnm._FilterDatabase" localSheetId="25" hidden="1">'4.5 EPA'!$A$3:$R$61</definedName>
    <definedName name="_xlnm.Print_Area" localSheetId="0">' CONSOLIDADO GENERAL'!$B$1:$G$67</definedName>
    <definedName name="_xlnm.Print_Area" localSheetId="2">' CONSOLIDADO NIVEL CENTRAL '!$B$1:$G$62</definedName>
    <definedName name="_xlnm.Print_Area" localSheetId="5">'1.DESPACHO'!$B$1:$G$41</definedName>
    <definedName name="_xlnm.Print_Area" localSheetId="6">'2.1 GOBIERNO Y CONVIVENCIA'!$B$2:$G$47</definedName>
    <definedName name="_xlnm.Print_Area" localSheetId="7">'2.2 DESARROLLO SOCIAL'!$B$2:$G$53</definedName>
    <definedName name="_xlnm.Print_Area" localSheetId="8">'2.3 SALUD'!$B$2:$G$58</definedName>
    <definedName name="_xlnm.Print_Area" localSheetId="9">'2.4 DESARROLLO ECONOMICO'!$B$1:$G$34</definedName>
    <definedName name="_xlnm.Print_Area" localSheetId="10">'2.5 EDUCACION'!$B$2:$G$73</definedName>
    <definedName name="_xlnm.Print_Area" localSheetId="11">'2.6 INFRAESTRUCTURA'!$B$1:$G$53</definedName>
    <definedName name="_xlnm.Print_Area" localSheetId="12">'2.7 TRANSITO'!$B$1:$G$38</definedName>
    <definedName name="_xlnm.Print_Area" localSheetId="13">'2.8 TICS'!$B$1:$G$42</definedName>
    <definedName name="_xlnm.Print_Area" localSheetId="14">'2.9 HACIENDA'!$B$1:$G$37</definedName>
    <definedName name="_xlnm.Print_Area" localSheetId="15">'3.1 FORTALECIMIENTO INSTITUCION'!$B$1:$G$38</definedName>
    <definedName name="_xlnm.Print_Area" localSheetId="16">'3.2 JURIDICA'!$B$1:$G$36</definedName>
    <definedName name="_xlnm.Print_Area" localSheetId="17">'3.4 BIENES Y SUMINISTROS'!$B$1:$G$38</definedName>
    <definedName name="_xlnm.Print_Area" localSheetId="18">'3.5 PLANEACION'!$B$1:$G$60</definedName>
    <definedName name="_xlnm.Print_Area" localSheetId="19">'3.6 CONTROL INTERNO'!$B$1:$G$37</definedName>
    <definedName name="_xlnm.Print_Area" localSheetId="20">'3.7. DACID'!$B$1:$G$34</definedName>
    <definedName name="_xlnm.Print_Area" localSheetId="21">'4.1 FOMVIVIENDA'!$A$1:$G$37</definedName>
    <definedName name="_xlnm.Print_Area" localSheetId="22">'4.2 EDUA'!$B$1:$G$37</definedName>
    <definedName name="_xlnm.Print_Area" localSheetId="23">'4.3 CORPOCULTURA'!$B$1:$G$58</definedName>
    <definedName name="_xlnm.Print_Area" localSheetId="24">'4.4 IMDERA'!$B$1:$G$39</definedName>
    <definedName name="_xlnm.Print_Area" localSheetId="25">'4.5 EPA'!$B$1:$G$96</definedName>
    <definedName name="_xlnm.Print_Area" localSheetId="26">'4.6 AMABLE'!$B$1:$G$48</definedName>
    <definedName name="_xlnm.Print_Area" localSheetId="27">'4.7 REDSALUD'!$B$1:$G$37</definedName>
    <definedName name="_xlnm.Print_Area" localSheetId="4">'CONSOLIDADO D.A'!$A$1:$F$9</definedName>
    <definedName name="_xlnm.Print_Area" localSheetId="1">'CONSOLIDADO DESCENTRALIZADOS'!$A$1:$F$10</definedName>
    <definedName name="_xlnm.Print_Area" localSheetId="3">'CONSOLIDADO SECRETARIAS'!$A$1:$F$13</definedName>
    <definedName name="_xlnm.Print_Titles" localSheetId="0">' CONSOLIDADO GENERAL'!$1:$1</definedName>
    <definedName name="_xlnm.Print_Titles" localSheetId="2">' CONSOLIDADO NIVEL CENTRAL '!$1:$1</definedName>
    <definedName name="_xlnm.Print_Titles" localSheetId="5">'1.DESPACHO'!$1:$1</definedName>
    <definedName name="_xlnm.Print_Titles" localSheetId="6">'2.1 GOBIERNO Y CONVIVENCIA'!$2:$2</definedName>
    <definedName name="_xlnm.Print_Titles" localSheetId="7">'2.2 DESARROLLO SOCIAL'!$2:$2</definedName>
    <definedName name="_xlnm.Print_Titles" localSheetId="8">'2.3 SALUD'!$2:$3</definedName>
    <definedName name="_xlnm.Print_Titles" localSheetId="9">'2.4 DESARROLLO ECONOMICO'!$1:$1</definedName>
    <definedName name="_xlnm.Print_Titles" localSheetId="10">'2.5 EDUCACION'!$2:$3</definedName>
    <definedName name="_xlnm.Print_Titles" localSheetId="12">'2.7 TRANSITO'!$1:$1</definedName>
    <definedName name="_xlnm.Print_Titles" localSheetId="13">'2.8 TICS'!$1:$1</definedName>
    <definedName name="_xlnm.Print_Titles" localSheetId="14">'2.9 HACIENDA'!$1:$1</definedName>
    <definedName name="_xlnm.Print_Titles" localSheetId="15">'3.1 FORTALECIMIENTO INSTITUCION'!$1:$1</definedName>
    <definedName name="_xlnm.Print_Titles" localSheetId="16">'3.2 JURIDICA'!$1:$1</definedName>
    <definedName name="_xlnm.Print_Titles" localSheetId="17">'3.4 BIENES Y SUMINISTROS'!$1:$1</definedName>
    <definedName name="_xlnm.Print_Titles" localSheetId="18">'3.5 PLANEACION'!$1:$1</definedName>
    <definedName name="_xlnm.Print_Titles" localSheetId="19">'3.6 CONTROL INTERNO'!$1:$1</definedName>
    <definedName name="_xlnm.Print_Titles" localSheetId="20">'3.7. DACID'!$1:$1</definedName>
    <definedName name="_xlnm.Print_Titles" localSheetId="21">'4.1 FOMVIVIENDA'!$1:$1</definedName>
    <definedName name="_xlnm.Print_Titles" localSheetId="22">'4.2 EDUA'!$1:$1</definedName>
    <definedName name="_xlnm.Print_Titles" localSheetId="24">'4.4 IMDERA'!$1:$1</definedName>
    <definedName name="_xlnm.Print_Titles" localSheetId="25">'4.5 EPA'!$2:$3</definedName>
    <definedName name="_xlnm.Print_Titles" localSheetId="26">'4.6 AMABLE'!$1:$1</definedName>
    <definedName name="_xlnm.Print_Titles" localSheetId="27">'4.7 REDSALUD'!$1:$1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1" l="1"/>
  <c r="E7" i="29" l="1"/>
  <c r="F7" i="29"/>
  <c r="D7" i="29"/>
  <c r="G6" i="20"/>
  <c r="F6" i="20"/>
  <c r="E6" i="20"/>
  <c r="D6" i="20"/>
  <c r="D7" i="31"/>
  <c r="C4" i="39" l="1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E3" i="35" l="1"/>
  <c r="F3" i="35"/>
  <c r="E4" i="35"/>
  <c r="F4" i="35"/>
  <c r="E5" i="35"/>
  <c r="F5" i="35"/>
  <c r="E6" i="35"/>
  <c r="F6" i="35"/>
  <c r="E7" i="35"/>
  <c r="F7" i="35"/>
  <c r="E8" i="35"/>
  <c r="F8" i="35"/>
  <c r="E9" i="35"/>
  <c r="F9" i="35"/>
  <c r="E10" i="35"/>
  <c r="F10" i="35"/>
  <c r="E11" i="35"/>
  <c r="F11" i="35"/>
  <c r="D3" i="35"/>
  <c r="D4" i="35"/>
  <c r="D5" i="35"/>
  <c r="D6" i="35"/>
  <c r="D7" i="35"/>
  <c r="D8" i="35"/>
  <c r="D9" i="35"/>
  <c r="D10" i="35"/>
  <c r="D11" i="35"/>
  <c r="E4" i="39"/>
  <c r="F4" i="39"/>
  <c r="E5" i="39"/>
  <c r="F5" i="39"/>
  <c r="E6" i="39"/>
  <c r="F6" i="39"/>
  <c r="E7" i="39"/>
  <c r="F7" i="39"/>
  <c r="E8" i="39"/>
  <c r="F8" i="39"/>
  <c r="G8" i="39" s="1"/>
  <c r="E9" i="39"/>
  <c r="F9" i="39"/>
  <c r="E10" i="39"/>
  <c r="F10" i="39"/>
  <c r="E11" i="39"/>
  <c r="F11" i="39"/>
  <c r="E12" i="39"/>
  <c r="F12" i="39"/>
  <c r="E13" i="39"/>
  <c r="F13" i="39"/>
  <c r="E14" i="39"/>
  <c r="F14" i="39"/>
  <c r="E15" i="39"/>
  <c r="F15" i="39"/>
  <c r="E16" i="39"/>
  <c r="F16" i="39"/>
  <c r="E17" i="39"/>
  <c r="F17" i="39"/>
  <c r="E18" i="39"/>
  <c r="F18" i="39"/>
  <c r="E19" i="39"/>
  <c r="F19" i="39"/>
  <c r="E20" i="39"/>
  <c r="F20" i="39"/>
  <c r="E21" i="39"/>
  <c r="F21" i="39"/>
  <c r="E22" i="39"/>
  <c r="F22" i="39"/>
  <c r="E23" i="39"/>
  <c r="F23" i="39"/>
  <c r="E24" i="39"/>
  <c r="F24" i="39"/>
  <c r="E25" i="39"/>
  <c r="F25" i="39"/>
  <c r="G25" i="39" s="1"/>
  <c r="E26" i="39"/>
  <c r="F26" i="39"/>
  <c r="E27" i="39"/>
  <c r="F27" i="39"/>
  <c r="E28" i="39"/>
  <c r="F28" i="39"/>
  <c r="E29" i="39"/>
  <c r="F29" i="39"/>
  <c r="E30" i="39"/>
  <c r="F30" i="39"/>
  <c r="E31" i="39"/>
  <c r="F31" i="39"/>
  <c r="E32" i="39"/>
  <c r="F32" i="39"/>
  <c r="E33" i="39"/>
  <c r="F33" i="39"/>
  <c r="E34" i="39"/>
  <c r="F34" i="39"/>
  <c r="E35" i="39"/>
  <c r="F35" i="39"/>
  <c r="E36" i="39"/>
  <c r="F36" i="39"/>
  <c r="E37" i="39"/>
  <c r="F37" i="39"/>
  <c r="E38" i="39"/>
  <c r="F38" i="39"/>
  <c r="E39" i="39"/>
  <c r="F39" i="39"/>
  <c r="E40" i="39"/>
  <c r="F40" i="39"/>
  <c r="E41" i="39"/>
  <c r="F41" i="39"/>
  <c r="E42" i="39"/>
  <c r="F42" i="39"/>
  <c r="E43" i="39"/>
  <c r="F43" i="39"/>
  <c r="E44" i="39"/>
  <c r="F44" i="39"/>
  <c r="E45" i="39"/>
  <c r="F45" i="39"/>
  <c r="G45" i="39" s="1"/>
  <c r="E46" i="39"/>
  <c r="F46" i="39"/>
  <c r="E47" i="39"/>
  <c r="F47" i="39"/>
  <c r="E48" i="39"/>
  <c r="F48" i="39"/>
  <c r="E49" i="39"/>
  <c r="F49" i="39"/>
  <c r="E50" i="39"/>
  <c r="F50" i="39"/>
  <c r="E51" i="39"/>
  <c r="F51" i="39"/>
  <c r="E52" i="39"/>
  <c r="F52" i="39"/>
  <c r="E53" i="39"/>
  <c r="F53" i="39"/>
  <c r="E54" i="39"/>
  <c r="F54" i="39"/>
  <c r="E55" i="39"/>
  <c r="F55" i="39"/>
  <c r="E56" i="39"/>
  <c r="F56" i="39"/>
  <c r="E57" i="39"/>
  <c r="F57" i="39"/>
  <c r="E58" i="39"/>
  <c r="F58" i="39"/>
  <c r="E59" i="39"/>
  <c r="F59" i="39"/>
  <c r="E60" i="39"/>
  <c r="F60" i="39"/>
  <c r="D4" i="39"/>
  <c r="D5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51" i="39"/>
  <c r="D52" i="39"/>
  <c r="D53" i="39"/>
  <c r="D54" i="39"/>
  <c r="D55" i="39"/>
  <c r="D56" i="39"/>
  <c r="D57" i="39"/>
  <c r="D58" i="39"/>
  <c r="D59" i="39"/>
  <c r="D60" i="39"/>
  <c r="E3" i="31" l="1"/>
  <c r="F3" i="31"/>
  <c r="E4" i="31"/>
  <c r="F4" i="31"/>
  <c r="E5" i="31"/>
  <c r="F5" i="31"/>
  <c r="E6" i="31"/>
  <c r="F6" i="31"/>
  <c r="E7" i="31"/>
  <c r="F7" i="31"/>
  <c r="D3" i="31"/>
  <c r="D4" i="31"/>
  <c r="D5" i="31"/>
  <c r="D6" i="31"/>
  <c r="E5" i="40" l="1"/>
  <c r="G5" i="40"/>
  <c r="E4" i="40"/>
  <c r="F4" i="40"/>
  <c r="G3" i="40"/>
  <c r="E3" i="40"/>
  <c r="F3" i="40"/>
  <c r="D10" i="32"/>
  <c r="D14" i="32"/>
  <c r="D11" i="32"/>
  <c r="D15" i="32"/>
  <c r="D17" i="32"/>
  <c r="D23" i="32"/>
  <c r="F3" i="32"/>
  <c r="E4" i="32"/>
  <c r="E5" i="32"/>
  <c r="F5" i="32"/>
  <c r="E6" i="32"/>
  <c r="E7" i="32"/>
  <c r="F7" i="32"/>
  <c r="E8" i="32"/>
  <c r="E9" i="32"/>
  <c r="F9" i="32"/>
  <c r="E10" i="32"/>
  <c r="E11" i="32"/>
  <c r="F11" i="32"/>
  <c r="E12" i="32"/>
  <c r="F12" i="32"/>
  <c r="E13" i="32"/>
  <c r="F13" i="32"/>
  <c r="E14" i="32"/>
  <c r="F14" i="32"/>
  <c r="E15" i="32"/>
  <c r="F15" i="32"/>
  <c r="E16" i="32"/>
  <c r="E17" i="32"/>
  <c r="F17" i="32"/>
  <c r="E18" i="32"/>
  <c r="F19" i="32"/>
  <c r="E20" i="32"/>
  <c r="F20" i="32"/>
  <c r="E21" i="32"/>
  <c r="F21" i="32"/>
  <c r="E22" i="32"/>
  <c r="E23" i="32"/>
  <c r="F23" i="32"/>
  <c r="E24" i="32"/>
  <c r="E25" i="32"/>
  <c r="F25" i="32"/>
  <c r="D4" i="32"/>
  <c r="D5" i="32"/>
  <c r="D6" i="32"/>
  <c r="D7" i="32"/>
  <c r="D8" i="32"/>
  <c r="D9" i="32"/>
  <c r="D12" i="32"/>
  <c r="D13" i="32"/>
  <c r="D16" i="32"/>
  <c r="D18" i="32"/>
  <c r="D19" i="32"/>
  <c r="D20" i="32"/>
  <c r="D21" i="32"/>
  <c r="D22" i="32"/>
  <c r="D24" i="32"/>
  <c r="D25" i="32"/>
  <c r="G6" i="38"/>
  <c r="E3" i="38"/>
  <c r="F3" i="38"/>
  <c r="E4" i="38"/>
  <c r="F4" i="38"/>
  <c r="E5" i="38"/>
  <c r="F5" i="38"/>
  <c r="D3" i="38"/>
  <c r="D4" i="38"/>
  <c r="D5" i="38"/>
  <c r="G3" i="44"/>
  <c r="E3" i="44"/>
  <c r="F3" i="44"/>
  <c r="E3" i="28"/>
  <c r="F3" i="28"/>
  <c r="E4" i="28"/>
  <c r="F4" i="28"/>
  <c r="E5" i="28"/>
  <c r="F5" i="28"/>
  <c r="D3" i="28"/>
  <c r="D4" i="28"/>
  <c r="D5" i="28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E22" i="17"/>
  <c r="F22" i="17"/>
  <c r="E21" i="17"/>
  <c r="F21" i="17"/>
  <c r="E20" i="17"/>
  <c r="F20" i="17"/>
  <c r="E19" i="17"/>
  <c r="F18" i="17"/>
  <c r="E17" i="17"/>
  <c r="E16" i="17"/>
  <c r="F16" i="17"/>
  <c r="E15" i="17"/>
  <c r="F15" i="17"/>
  <c r="E14" i="17"/>
  <c r="F14" i="17"/>
  <c r="E13" i="17"/>
  <c r="F13" i="17"/>
  <c r="F12" i="17"/>
  <c r="E11" i="17"/>
  <c r="E10" i="17"/>
  <c r="E9" i="17"/>
  <c r="F8" i="17"/>
  <c r="E7" i="17"/>
  <c r="F6" i="17"/>
  <c r="E5" i="17"/>
  <c r="F5" i="17"/>
  <c r="F4" i="17"/>
  <c r="E3" i="17"/>
  <c r="F3" i="17"/>
  <c r="E4" i="29"/>
  <c r="F4" i="29"/>
  <c r="E5" i="29"/>
  <c r="F5" i="29"/>
  <c r="D3" i="29"/>
  <c r="D4" i="29"/>
  <c r="D5" i="29"/>
  <c r="E3" i="29"/>
  <c r="F16" i="32" l="1"/>
  <c r="F8" i="32"/>
  <c r="F10" i="32"/>
  <c r="F4" i="32"/>
  <c r="F6" i="32"/>
  <c r="F10" i="17"/>
  <c r="E18" i="17"/>
  <c r="E6" i="17"/>
  <c r="E12" i="17"/>
  <c r="E8" i="17"/>
  <c r="E4" i="17"/>
  <c r="G15" i="17"/>
  <c r="G14" i="17"/>
  <c r="G13" i="17"/>
  <c r="F19" i="17"/>
  <c r="F17" i="17"/>
  <c r="F11" i="17"/>
  <c r="F9" i="17"/>
  <c r="F7" i="17"/>
  <c r="F3" i="29"/>
  <c r="F18" i="32" l="1"/>
  <c r="E19" i="32"/>
  <c r="F22" i="32"/>
  <c r="F24" i="32"/>
  <c r="E3" i="32"/>
  <c r="E3" i="18"/>
  <c r="F3" i="18"/>
  <c r="E4" i="18"/>
  <c r="F4" i="18"/>
  <c r="E4" i="20"/>
  <c r="F4" i="20"/>
  <c r="E5" i="20"/>
  <c r="F5" i="20"/>
  <c r="D3" i="20"/>
  <c r="D4" i="20"/>
  <c r="D5" i="20"/>
  <c r="F3" i="20"/>
  <c r="E3" i="20" l="1"/>
  <c r="A12" i="49" l="1"/>
  <c r="E3" i="27"/>
  <c r="F3" i="27"/>
  <c r="E4" i="27"/>
  <c r="F4" i="27"/>
  <c r="E5" i="27"/>
  <c r="F5" i="27"/>
  <c r="D3" i="27"/>
  <c r="D4" i="27"/>
  <c r="D5" i="27"/>
  <c r="E4" i="30" l="1"/>
  <c r="F4" i="30"/>
  <c r="E5" i="30"/>
  <c r="F5" i="30"/>
  <c r="D3" i="30"/>
  <c r="D4" i="30"/>
  <c r="D5" i="30"/>
  <c r="D6" i="30"/>
  <c r="D7" i="30"/>
  <c r="E6" i="30"/>
  <c r="F6" i="30"/>
  <c r="F7" i="30"/>
  <c r="E3" i="30"/>
  <c r="F3" i="30" l="1"/>
  <c r="E7" i="30"/>
  <c r="D3" i="24" l="1"/>
  <c r="D4" i="24"/>
  <c r="D5" i="24"/>
  <c r="D6" i="24"/>
  <c r="C3" i="24"/>
  <c r="C4" i="24"/>
  <c r="C5" i="24"/>
  <c r="C6" i="24"/>
  <c r="E6" i="24"/>
  <c r="F6" i="24"/>
  <c r="E5" i="24"/>
  <c r="F5" i="24"/>
  <c r="E4" i="24"/>
  <c r="F4" i="24"/>
  <c r="E3" i="24"/>
  <c r="F3" i="24"/>
  <c r="E3" i="22" l="1"/>
  <c r="F3" i="22"/>
  <c r="E6" i="22"/>
  <c r="F6" i="22"/>
  <c r="E7" i="22"/>
  <c r="F7" i="22"/>
  <c r="E8" i="22"/>
  <c r="F8" i="22"/>
  <c r="E9" i="22"/>
  <c r="F9" i="22"/>
  <c r="E10" i="22"/>
  <c r="F10" i="22"/>
  <c r="E11" i="22"/>
  <c r="F11" i="22"/>
  <c r="E12" i="22"/>
  <c r="F12" i="22"/>
  <c r="E13" i="22"/>
  <c r="F13" i="22"/>
  <c r="E14" i="22"/>
  <c r="F14" i="22"/>
  <c r="E15" i="22"/>
  <c r="F15" i="22"/>
  <c r="E16" i="22"/>
  <c r="F16" i="22"/>
  <c r="E17" i="22"/>
  <c r="F17" i="22"/>
  <c r="E18" i="22"/>
  <c r="F18" i="22"/>
  <c r="E19" i="22"/>
  <c r="F19" i="22"/>
  <c r="E20" i="22"/>
  <c r="F20" i="22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E4" i="22"/>
  <c r="F4" i="22"/>
  <c r="E5" i="22"/>
  <c r="E6" i="21"/>
  <c r="F6" i="21"/>
  <c r="E7" i="21"/>
  <c r="F7" i="21"/>
  <c r="E23" i="21"/>
  <c r="F23" i="21"/>
  <c r="D7" i="21"/>
  <c r="D23" i="21"/>
  <c r="E24" i="21"/>
  <c r="F24" i="21"/>
  <c r="F25" i="21"/>
  <c r="E26" i="21"/>
  <c r="E27" i="21"/>
  <c r="E28" i="21"/>
  <c r="F28" i="21"/>
  <c r="F29" i="21"/>
  <c r="E30" i="21"/>
  <c r="E31" i="21"/>
  <c r="E32" i="21"/>
  <c r="F32" i="21"/>
  <c r="F33" i="21"/>
  <c r="E34" i="21"/>
  <c r="E35" i="21"/>
  <c r="E36" i="21"/>
  <c r="F36" i="21"/>
  <c r="F37" i="21"/>
  <c r="E38" i="21"/>
  <c r="E39" i="21"/>
  <c r="E40" i="21"/>
  <c r="F40" i="21"/>
  <c r="E8" i="21"/>
  <c r="F8" i="21"/>
  <c r="E9" i="21"/>
  <c r="F9" i="21"/>
  <c r="E10" i="21"/>
  <c r="E11" i="21"/>
  <c r="E12" i="21"/>
  <c r="F12" i="21"/>
  <c r="E13" i="21"/>
  <c r="E14" i="21"/>
  <c r="E15" i="21"/>
  <c r="E16" i="21"/>
  <c r="F16" i="21"/>
  <c r="E17" i="21"/>
  <c r="F17" i="21"/>
  <c r="E18" i="21"/>
  <c r="E19" i="21"/>
  <c r="F19" i="21"/>
  <c r="E20" i="21"/>
  <c r="F20" i="21"/>
  <c r="E21" i="21"/>
  <c r="F21" i="21"/>
  <c r="E22" i="21"/>
  <c r="E4" i="21"/>
  <c r="F5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4" i="21"/>
  <c r="D5" i="21"/>
  <c r="D6" i="21"/>
  <c r="F6" i="26"/>
  <c r="E3" i="26"/>
  <c r="F3" i="26"/>
  <c r="E4" i="26"/>
  <c r="F4" i="26"/>
  <c r="E5" i="26"/>
  <c r="F5" i="26"/>
  <c r="E6" i="26"/>
  <c r="D3" i="26"/>
  <c r="D4" i="26"/>
  <c r="D5" i="26"/>
  <c r="D6" i="26"/>
  <c r="G20" i="22" l="1"/>
  <c r="F5" i="22"/>
  <c r="F13" i="21"/>
  <c r="F27" i="21"/>
  <c r="F11" i="21"/>
  <c r="F35" i="21"/>
  <c r="F39" i="21"/>
  <c r="F31" i="21"/>
  <c r="F15" i="21"/>
  <c r="E37" i="21"/>
  <c r="E33" i="21"/>
  <c r="E29" i="21"/>
  <c r="E25" i="21"/>
  <c r="E5" i="21"/>
  <c r="F38" i="21"/>
  <c r="F34" i="21"/>
  <c r="F30" i="21"/>
  <c r="F26" i="21"/>
  <c r="F22" i="21"/>
  <c r="F18" i="21"/>
  <c r="F14" i="21"/>
  <c r="F10" i="21"/>
  <c r="F4" i="21"/>
  <c r="G6" i="33"/>
  <c r="E10" i="23"/>
  <c r="F10" i="23"/>
  <c r="E11" i="23"/>
  <c r="F11" i="23"/>
  <c r="E12" i="23"/>
  <c r="F12" i="23"/>
  <c r="E13" i="23"/>
  <c r="F13" i="23"/>
  <c r="E14" i="23"/>
  <c r="F14" i="23"/>
  <c r="E15" i="23"/>
  <c r="F15" i="23"/>
  <c r="E16" i="23"/>
  <c r="F16" i="23"/>
  <c r="E17" i="23"/>
  <c r="F17" i="23"/>
  <c r="E18" i="23"/>
  <c r="F18" i="23"/>
  <c r="E19" i="23"/>
  <c r="F19" i="23"/>
  <c r="E20" i="23"/>
  <c r="F20" i="23"/>
  <c r="E21" i="23"/>
  <c r="F21" i="23"/>
  <c r="E22" i="23"/>
  <c r="F22" i="23"/>
  <c r="E23" i="23"/>
  <c r="F23" i="23"/>
  <c r="E24" i="23"/>
  <c r="F24" i="23"/>
  <c r="E25" i="23"/>
  <c r="F25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E9" i="23"/>
  <c r="E7" i="23"/>
  <c r="E8" i="23"/>
  <c r="E6" i="23"/>
  <c r="E5" i="23"/>
  <c r="F41" i="21" l="1"/>
  <c r="F8" i="23"/>
  <c r="F6" i="23"/>
  <c r="E4" i="23"/>
  <c r="F5" i="23"/>
  <c r="F21" i="25"/>
  <c r="G20" i="25"/>
  <c r="G19" i="25"/>
  <c r="G18" i="25"/>
  <c r="G17" i="25"/>
  <c r="G15" i="25"/>
  <c r="G14" i="25"/>
  <c r="G13" i="25"/>
  <c r="G12" i="25"/>
  <c r="G11" i="25"/>
  <c r="G10" i="25"/>
  <c r="G9" i="25"/>
  <c r="G8" i="25"/>
  <c r="G7" i="25"/>
  <c r="G6" i="25"/>
  <c r="G5" i="25"/>
  <c r="G4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E21" i="25" s="1"/>
  <c r="F16" i="25"/>
  <c r="E17" i="25"/>
  <c r="F17" i="25"/>
  <c r="E18" i="25"/>
  <c r="F18" i="25"/>
  <c r="E19" i="25"/>
  <c r="F19" i="25"/>
  <c r="E20" i="25"/>
  <c r="F20" i="25"/>
  <c r="D21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C21" i="25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F4" i="23" l="1"/>
  <c r="F7" i="23"/>
  <c r="F9" i="23"/>
  <c r="G16" i="25"/>
  <c r="G21" i="25"/>
  <c r="D4" i="48" l="1"/>
  <c r="E4" i="19"/>
  <c r="F4" i="19"/>
  <c r="E5" i="19"/>
  <c r="F5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E16" i="19"/>
  <c r="E15" i="19"/>
  <c r="F15" i="19"/>
  <c r="E14" i="19"/>
  <c r="F14" i="19"/>
  <c r="E13" i="19"/>
  <c r="F13" i="19"/>
  <c r="E12" i="19"/>
  <c r="F12" i="19"/>
  <c r="F11" i="19"/>
  <c r="E10" i="19"/>
  <c r="F10" i="19"/>
  <c r="E9" i="19"/>
  <c r="F9" i="19"/>
  <c r="E8" i="19"/>
  <c r="F8" i="19"/>
  <c r="F7" i="19"/>
  <c r="E6" i="19"/>
  <c r="E3" i="1"/>
  <c r="E8" i="1" s="1"/>
  <c r="E3" i="33" s="1"/>
  <c r="F3" i="1"/>
  <c r="F8" i="1" s="1"/>
  <c r="G8" i="1" s="1"/>
  <c r="E4" i="1"/>
  <c r="F4" i="1"/>
  <c r="G4" i="1" s="1"/>
  <c r="E5" i="1"/>
  <c r="F5" i="1"/>
  <c r="G5" i="1" s="1"/>
  <c r="E6" i="1"/>
  <c r="F6" i="1"/>
  <c r="G6" i="1" s="1"/>
  <c r="E7" i="1"/>
  <c r="F7" i="1"/>
  <c r="G7" i="1" s="1"/>
  <c r="D3" i="48"/>
  <c r="D3" i="33"/>
  <c r="C3" i="49" s="1"/>
  <c r="D8" i="1"/>
  <c r="F17" i="19" l="1"/>
  <c r="E17" i="19"/>
  <c r="F16" i="19"/>
  <c r="F6" i="19"/>
  <c r="F18" i="19" s="1"/>
  <c r="E11" i="19"/>
  <c r="G11" i="19" s="1"/>
  <c r="E7" i="19"/>
  <c r="G7" i="19" s="1"/>
  <c r="G3" i="1"/>
  <c r="F3" i="33"/>
  <c r="G4" i="38"/>
  <c r="D4" i="44"/>
  <c r="D8" i="30"/>
  <c r="D11" i="48" s="1"/>
  <c r="D3" i="40"/>
  <c r="D5" i="40" s="1"/>
  <c r="D20" i="33" s="1"/>
  <c r="C4" i="51" s="1"/>
  <c r="A3" i="51"/>
  <c r="C6" i="38"/>
  <c r="C19" i="33"/>
  <c r="B3" i="51" s="1"/>
  <c r="D6" i="38"/>
  <c r="D19" i="33" s="1"/>
  <c r="C3" i="51" s="1"/>
  <c r="E6" i="38"/>
  <c r="E19" i="33" s="1"/>
  <c r="D3" i="51" s="1"/>
  <c r="A4" i="51"/>
  <c r="A5" i="51"/>
  <c r="C26" i="32"/>
  <c r="C21" i="33"/>
  <c r="B5" i="51" s="1"/>
  <c r="A6" i="51"/>
  <c r="C8" i="31"/>
  <c r="C22" i="33" s="1"/>
  <c r="B6" i="51" s="1"/>
  <c r="D8" i="31"/>
  <c r="D22" i="33" s="1"/>
  <c r="C6" i="51" s="1"/>
  <c r="E8" i="31"/>
  <c r="E22" i="33"/>
  <c r="D6" i="51" s="1"/>
  <c r="F8" i="31"/>
  <c r="F22" i="33" s="1"/>
  <c r="E6" i="51"/>
  <c r="A7" i="51"/>
  <c r="A8" i="51"/>
  <c r="C24" i="33"/>
  <c r="B8" i="51" s="1"/>
  <c r="E12" i="35"/>
  <c r="E24" i="33" s="1"/>
  <c r="D8" i="51" s="1"/>
  <c r="A9" i="51"/>
  <c r="C25" i="33"/>
  <c r="B9" i="51" s="1"/>
  <c r="D4" i="45"/>
  <c r="D25" i="33"/>
  <c r="C9" i="51" s="1"/>
  <c r="E25" i="33"/>
  <c r="D9" i="51"/>
  <c r="F25" i="33"/>
  <c r="E9" i="51" s="1"/>
  <c r="G25" i="33"/>
  <c r="F9" i="51"/>
  <c r="A10" i="51"/>
  <c r="C11" i="51"/>
  <c r="F11" i="51"/>
  <c r="C12" i="51"/>
  <c r="F12" i="51"/>
  <c r="F70" i="39"/>
  <c r="G69" i="39" s="1"/>
  <c r="F2" i="51"/>
  <c r="E2" i="51"/>
  <c r="D2" i="51"/>
  <c r="C2" i="51"/>
  <c r="B2" i="51"/>
  <c r="A2" i="51"/>
  <c r="F2" i="50"/>
  <c r="E2" i="50"/>
  <c r="D2" i="50"/>
  <c r="C2" i="50"/>
  <c r="B2" i="50"/>
  <c r="A2" i="50"/>
  <c r="A3" i="50"/>
  <c r="C6" i="20"/>
  <c r="C13" i="48" s="1"/>
  <c r="B3" i="50" s="1"/>
  <c r="A4" i="50"/>
  <c r="C14" i="48"/>
  <c r="B4" i="50" s="1"/>
  <c r="D5" i="18"/>
  <c r="D14" i="48"/>
  <c r="C4" i="50" s="1"/>
  <c r="A5" i="50"/>
  <c r="C7" i="29"/>
  <c r="C15" i="48"/>
  <c r="B5" i="50" s="1"/>
  <c r="D15" i="48"/>
  <c r="C5" i="50" s="1"/>
  <c r="A6" i="50"/>
  <c r="C23" i="17"/>
  <c r="C16" i="48" s="1"/>
  <c r="B6" i="50" s="1"/>
  <c r="A7" i="50"/>
  <c r="A8" i="50"/>
  <c r="C18" i="48"/>
  <c r="B8" i="50" s="1"/>
  <c r="A9" i="50"/>
  <c r="C10" i="50"/>
  <c r="F10" i="50"/>
  <c r="C11" i="50"/>
  <c r="F11" i="50"/>
  <c r="A2" i="49"/>
  <c r="B2" i="49"/>
  <c r="C2" i="49"/>
  <c r="D2" i="49"/>
  <c r="E2" i="49"/>
  <c r="F2" i="49"/>
  <c r="A3" i="49"/>
  <c r="A4" i="49"/>
  <c r="C18" i="19"/>
  <c r="C4" i="33"/>
  <c r="B4" i="49" s="1"/>
  <c r="A5" i="49"/>
  <c r="A6" i="49"/>
  <c r="C26" i="23"/>
  <c r="C6" i="33"/>
  <c r="B6" i="49" s="1"/>
  <c r="A7" i="49"/>
  <c r="C7" i="26"/>
  <c r="C7" i="33"/>
  <c r="B7" i="49" s="1"/>
  <c r="D7" i="26"/>
  <c r="D7" i="33" s="1"/>
  <c r="C7" i="49" s="1"/>
  <c r="E7" i="26"/>
  <c r="E7" i="33" s="1"/>
  <c r="D7" i="49" s="1"/>
  <c r="F7" i="26"/>
  <c r="F7" i="33" s="1"/>
  <c r="E7" i="49" s="1"/>
  <c r="A8" i="49"/>
  <c r="C8" i="33"/>
  <c r="B8" i="49" s="1"/>
  <c r="D41" i="21"/>
  <c r="D8" i="33" s="1"/>
  <c r="C8" i="49" s="1"/>
  <c r="A9" i="49"/>
  <c r="A10" i="49"/>
  <c r="A11" i="49"/>
  <c r="C8" i="30"/>
  <c r="C11" i="33"/>
  <c r="B11" i="49" s="1"/>
  <c r="F30" i="22"/>
  <c r="G27" i="22" s="1"/>
  <c r="C3" i="22"/>
  <c r="C21" i="22" s="1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F34" i="17"/>
  <c r="G21" i="17"/>
  <c r="G20" i="17"/>
  <c r="G19" i="17"/>
  <c r="G17" i="17"/>
  <c r="G16" i="17"/>
  <c r="G11" i="17"/>
  <c r="G6" i="17"/>
  <c r="C3" i="44"/>
  <c r="F4" i="44"/>
  <c r="G6" i="30"/>
  <c r="G7" i="30"/>
  <c r="G5" i="30"/>
  <c r="G24" i="23"/>
  <c r="G21" i="23"/>
  <c r="G16" i="23"/>
  <c r="G12" i="23"/>
  <c r="G7" i="23"/>
  <c r="G4" i="23"/>
  <c r="G11" i="23"/>
  <c r="G22" i="23"/>
  <c r="G8" i="23"/>
  <c r="G8" i="19"/>
  <c r="G10" i="19"/>
  <c r="G12" i="19"/>
  <c r="G15" i="19"/>
  <c r="G16" i="19"/>
  <c r="F4" i="45"/>
  <c r="F17" i="31"/>
  <c r="G14" i="31" s="1"/>
  <c r="F36" i="32"/>
  <c r="G34" i="32" s="1"/>
  <c r="G10" i="32"/>
  <c r="D6" i="28"/>
  <c r="D17" i="48" s="1"/>
  <c r="C7" i="50" s="1"/>
  <c r="D7" i="24"/>
  <c r="D10" i="48" s="1"/>
  <c r="D6" i="27"/>
  <c r="F5" i="18"/>
  <c r="E5" i="18"/>
  <c r="E14" i="48" s="1"/>
  <c r="D4" i="50" s="1"/>
  <c r="G4" i="20"/>
  <c r="G41" i="21"/>
  <c r="D23" i="17"/>
  <c r="G12" i="45"/>
  <c r="G11" i="45"/>
  <c r="G10" i="45"/>
  <c r="F22" i="35"/>
  <c r="G21" i="35"/>
  <c r="G20" i="35"/>
  <c r="G19" i="35"/>
  <c r="G11" i="35"/>
  <c r="G10" i="35"/>
  <c r="G9" i="35"/>
  <c r="G8" i="35"/>
  <c r="G7" i="35"/>
  <c r="G6" i="35"/>
  <c r="G5" i="35"/>
  <c r="G4" i="35"/>
  <c r="G68" i="39"/>
  <c r="D61" i="39"/>
  <c r="D23" i="33" s="1"/>
  <c r="C7" i="51" s="1"/>
  <c r="E21" i="31"/>
  <c r="G16" i="31"/>
  <c r="G7" i="31"/>
  <c r="G6" i="31"/>
  <c r="G5" i="31"/>
  <c r="G4" i="31"/>
  <c r="G3" i="31"/>
  <c r="G33" i="32"/>
  <c r="G25" i="32"/>
  <c r="G24" i="32"/>
  <c r="G23" i="32"/>
  <c r="G21" i="32"/>
  <c r="G19" i="32"/>
  <c r="G18" i="32"/>
  <c r="G11" i="32"/>
  <c r="G9" i="32"/>
  <c r="G8" i="32"/>
  <c r="G7" i="32"/>
  <c r="G6" i="32"/>
  <c r="G5" i="32"/>
  <c r="G4" i="32"/>
  <c r="G3" i="32"/>
  <c r="E18" i="40"/>
  <c r="G13" i="40"/>
  <c r="G12" i="40"/>
  <c r="G11" i="40"/>
  <c r="F5" i="40"/>
  <c r="F20" i="33" s="1"/>
  <c r="E4" i="51" s="1"/>
  <c r="E20" i="33"/>
  <c r="D4" i="51" s="1"/>
  <c r="G4" i="40"/>
  <c r="G14" i="38"/>
  <c r="G13" i="38"/>
  <c r="G12" i="38"/>
  <c r="G5" i="38"/>
  <c r="G3" i="38"/>
  <c r="F13" i="44"/>
  <c r="E4" i="44"/>
  <c r="E18" i="33" s="1"/>
  <c r="E17" i="44"/>
  <c r="G15" i="28"/>
  <c r="G14" i="28"/>
  <c r="G13" i="28"/>
  <c r="F6" i="28"/>
  <c r="F17" i="48" s="1"/>
  <c r="E7" i="50" s="1"/>
  <c r="C6" i="28"/>
  <c r="G4" i="28"/>
  <c r="G3" i="28"/>
  <c r="G22" i="17"/>
  <c r="G18" i="17"/>
  <c r="G12" i="17"/>
  <c r="G10" i="17"/>
  <c r="G8" i="17"/>
  <c r="G7" i="17"/>
  <c r="G4" i="17"/>
  <c r="G3" i="17"/>
  <c r="F16" i="29"/>
  <c r="G15" i="29" s="1"/>
  <c r="G14" i="29"/>
  <c r="G13" i="29"/>
  <c r="G6" i="29"/>
  <c r="G3" i="29"/>
  <c r="F6" i="27"/>
  <c r="E6" i="27"/>
  <c r="E19" i="27" s="1"/>
  <c r="F15" i="27"/>
  <c r="G13" i="27" s="1"/>
  <c r="C6" i="27"/>
  <c r="C12" i="48" s="1"/>
  <c r="B12" i="49" s="1"/>
  <c r="G5" i="27"/>
  <c r="G4" i="27"/>
  <c r="G3" i="27"/>
  <c r="F14" i="18"/>
  <c r="G13" i="18"/>
  <c r="G12" i="18"/>
  <c r="G11" i="18"/>
  <c r="F15" i="20"/>
  <c r="G13" i="20" s="1"/>
  <c r="G5" i="20"/>
  <c r="G3" i="20"/>
  <c r="F17" i="30"/>
  <c r="G15" i="30" s="1"/>
  <c r="G4" i="30"/>
  <c r="F16" i="24"/>
  <c r="G15" i="24" s="1"/>
  <c r="F7" i="24"/>
  <c r="E7" i="24"/>
  <c r="E20" i="24" s="1"/>
  <c r="C7" i="24"/>
  <c r="C10" i="48" s="1"/>
  <c r="G6" i="24"/>
  <c r="G5" i="24"/>
  <c r="G4" i="24"/>
  <c r="G3" i="24"/>
  <c r="F50" i="21"/>
  <c r="G48" i="21" s="1"/>
  <c r="D8" i="48"/>
  <c r="G40" i="21"/>
  <c r="G38" i="21"/>
  <c r="G37" i="21"/>
  <c r="G29" i="21"/>
  <c r="G28" i="21"/>
  <c r="G27" i="21"/>
  <c r="G26" i="21"/>
  <c r="G25" i="21"/>
  <c r="G24" i="21"/>
  <c r="G22" i="21"/>
  <c r="G21" i="21"/>
  <c r="G20" i="21"/>
  <c r="G17" i="21"/>
  <c r="G16" i="21"/>
  <c r="G15" i="21"/>
  <c r="G12" i="21"/>
  <c r="G11" i="21"/>
  <c r="G10" i="21"/>
  <c r="G8" i="21"/>
  <c r="G5" i="21"/>
  <c r="F16" i="26"/>
  <c r="G14" i="26" s="1"/>
  <c r="G5" i="26"/>
  <c r="G4" i="26"/>
  <c r="G3" i="26"/>
  <c r="F35" i="23"/>
  <c r="G33" i="23" s="1"/>
  <c r="G32" i="23"/>
  <c r="G25" i="23"/>
  <c r="G23" i="23"/>
  <c r="G20" i="23"/>
  <c r="G18" i="23"/>
  <c r="G17" i="23"/>
  <c r="G14" i="23"/>
  <c r="G13" i="23"/>
  <c r="G10" i="23"/>
  <c r="G9" i="23"/>
  <c r="G6" i="23"/>
  <c r="G5" i="23"/>
  <c r="F30" i="25"/>
  <c r="G29" i="25" s="1"/>
  <c r="C5" i="33"/>
  <c r="B5" i="49" s="1"/>
  <c r="C5" i="48"/>
  <c r="F26" i="19"/>
  <c r="G14" i="19"/>
  <c r="G13" i="19"/>
  <c r="G9" i="19"/>
  <c r="G5" i="19"/>
  <c r="F17" i="1"/>
  <c r="C8" i="1"/>
  <c r="C3" i="33" s="1"/>
  <c r="F36" i="48"/>
  <c r="F35" i="48"/>
  <c r="F34" i="48"/>
  <c r="F29" i="48"/>
  <c r="G27" i="48" s="1"/>
  <c r="C17" i="48"/>
  <c r="B7" i="50" s="1"/>
  <c r="E12" i="48"/>
  <c r="D12" i="49" s="1"/>
  <c r="D12" i="48"/>
  <c r="C12" i="49" s="1"/>
  <c r="C11" i="48"/>
  <c r="C8" i="48"/>
  <c r="C7" i="48"/>
  <c r="C6" i="48"/>
  <c r="C4" i="48"/>
  <c r="C3" i="48"/>
  <c r="F43" i="33"/>
  <c r="F42" i="33"/>
  <c r="F41" i="33"/>
  <c r="F36" i="33"/>
  <c r="G33" i="33" s="1"/>
  <c r="C20" i="33"/>
  <c r="B4" i="51" s="1"/>
  <c r="C18" i="33"/>
  <c r="C17" i="33"/>
  <c r="D15" i="33"/>
  <c r="C15" i="33"/>
  <c r="E12" i="33"/>
  <c r="D12" i="33"/>
  <c r="C12" i="33"/>
  <c r="D14" i="33"/>
  <c r="C14" i="33"/>
  <c r="C13" i="33"/>
  <c r="B3" i="49"/>
  <c r="G67" i="39"/>
  <c r="C16" i="33"/>
  <c r="E18" i="48"/>
  <c r="D8" i="50" s="1"/>
  <c r="G34" i="23"/>
  <c r="G13" i="24"/>
  <c r="G14" i="24"/>
  <c r="G49" i="21"/>
  <c r="G47" i="21"/>
  <c r="G20" i="33"/>
  <c r="F4" i="51" s="1"/>
  <c r="F18" i="40"/>
  <c r="F18" i="48"/>
  <c r="E8" i="50" s="1"/>
  <c r="G14" i="30"/>
  <c r="G15" i="26"/>
  <c r="G13" i="26"/>
  <c r="D7" i="48"/>
  <c r="G31" i="17"/>
  <c r="G32" i="17"/>
  <c r="G33" i="17"/>
  <c r="G19" i="22"/>
  <c r="G16" i="22"/>
  <c r="G18" i="22"/>
  <c r="G4" i="22"/>
  <c r="G7" i="22"/>
  <c r="G10" i="22"/>
  <c r="G6" i="22"/>
  <c r="G12" i="22"/>
  <c r="G14" i="22"/>
  <c r="G53" i="39"/>
  <c r="G52" i="39"/>
  <c r="G44" i="39"/>
  <c r="G41" i="39"/>
  <c r="G32" i="39"/>
  <c r="G21" i="39"/>
  <c r="G20" i="39"/>
  <c r="G19" i="39"/>
  <c r="G11" i="39"/>
  <c r="G9" i="39"/>
  <c r="G5" i="39"/>
  <c r="G31" i="39"/>
  <c r="G6" i="39"/>
  <c r="G33" i="39"/>
  <c r="G43" i="39"/>
  <c r="G4" i="39"/>
  <c r="G42" i="39"/>
  <c r="G56" i="39"/>
  <c r="G12" i="39"/>
  <c r="G14" i="39"/>
  <c r="G16" i="39"/>
  <c r="G22" i="39"/>
  <c r="G28" i="39"/>
  <c r="G54" i="39"/>
  <c r="G57" i="39"/>
  <c r="G23" i="39"/>
  <c r="G15" i="39"/>
  <c r="G30" i="39"/>
  <c r="G18" i="39"/>
  <c r="G10" i="39"/>
  <c r="G35" i="39"/>
  <c r="G17" i="39"/>
  <c r="G60" i="39"/>
  <c r="G59" i="39"/>
  <c r="G37" i="39"/>
  <c r="G36" i="39"/>
  <c r="C9" i="33" l="1"/>
  <c r="B9" i="49" s="1"/>
  <c r="C9" i="48"/>
  <c r="C19" i="48" s="1"/>
  <c r="E26" i="35"/>
  <c r="F21" i="31"/>
  <c r="G8" i="31"/>
  <c r="G22" i="33" s="1"/>
  <c r="F6" i="51" s="1"/>
  <c r="G18" i="40"/>
  <c r="G35" i="32"/>
  <c r="E19" i="38"/>
  <c r="D17" i="33"/>
  <c r="E18" i="18"/>
  <c r="G12" i="20"/>
  <c r="G14" i="20"/>
  <c r="F19" i="20"/>
  <c r="G28" i="48"/>
  <c r="G26" i="48"/>
  <c r="G12" i="27"/>
  <c r="G14" i="27"/>
  <c r="G16" i="30"/>
  <c r="E11" i="48"/>
  <c r="D10" i="33"/>
  <c r="C10" i="49" s="1"/>
  <c r="E10" i="33"/>
  <c r="D10" i="49" s="1"/>
  <c r="E10" i="48"/>
  <c r="F20" i="24"/>
  <c r="G7" i="24"/>
  <c r="F10" i="33"/>
  <c r="E10" i="49" s="1"/>
  <c r="F10" i="48"/>
  <c r="C10" i="33"/>
  <c r="B10" i="49" s="1"/>
  <c r="G29" i="22"/>
  <c r="G28" i="22"/>
  <c r="F20" i="26"/>
  <c r="F7" i="48"/>
  <c r="G28" i="25"/>
  <c r="G27" i="25"/>
  <c r="G6" i="19"/>
  <c r="G17" i="19"/>
  <c r="F37" i="48"/>
  <c r="G35" i="48" s="1"/>
  <c r="F3" i="48"/>
  <c r="F21" i="1"/>
  <c r="G14" i="1"/>
  <c r="G16" i="1"/>
  <c r="G15" i="1"/>
  <c r="E3" i="49"/>
  <c r="G3" i="33"/>
  <c r="F3" i="49" s="1"/>
  <c r="G3" i="48"/>
  <c r="G21" i="31"/>
  <c r="E3" i="48"/>
  <c r="E21" i="1"/>
  <c r="G21" i="1" s="1"/>
  <c r="G23" i="21"/>
  <c r="G4" i="29"/>
  <c r="G7" i="39"/>
  <c r="G6" i="27"/>
  <c r="F12" i="33"/>
  <c r="F19" i="27"/>
  <c r="F12" i="48"/>
  <c r="E12" i="49" s="1"/>
  <c r="D18" i="48"/>
  <c r="C8" i="50" s="1"/>
  <c r="D18" i="33"/>
  <c r="E61" i="39"/>
  <c r="G13" i="39"/>
  <c r="G27" i="39"/>
  <c r="F21" i="22"/>
  <c r="G3" i="22"/>
  <c r="D13" i="48"/>
  <c r="C3" i="50" s="1"/>
  <c r="D13" i="33"/>
  <c r="C61" i="39"/>
  <c r="C23" i="33" s="1"/>
  <c r="B7" i="51" s="1"/>
  <c r="B10" i="51" s="1"/>
  <c r="F26" i="32"/>
  <c r="G16" i="32"/>
  <c r="F6" i="38"/>
  <c r="F61" i="39"/>
  <c r="G38" i="39"/>
  <c r="G10" i="44"/>
  <c r="G12" i="44"/>
  <c r="D11" i="33"/>
  <c r="C11" i="49" s="1"/>
  <c r="G17" i="22"/>
  <c r="G55" i="39"/>
  <c r="G58" i="39"/>
  <c r="E21" i="22"/>
  <c r="G11" i="44"/>
  <c r="F30" i="19"/>
  <c r="F4" i="33"/>
  <c r="E4" i="49" s="1"/>
  <c r="F4" i="48"/>
  <c r="G23" i="19"/>
  <c r="G25" i="19"/>
  <c r="D16" i="48"/>
  <c r="C6" i="50" s="1"/>
  <c r="D16" i="33"/>
  <c r="E18" i="19"/>
  <c r="G18" i="19" s="1"/>
  <c r="G4" i="48" s="1"/>
  <c r="D26" i="23"/>
  <c r="G3" i="30"/>
  <c r="E8" i="30"/>
  <c r="F23" i="17"/>
  <c r="G5" i="17"/>
  <c r="B9" i="50"/>
  <c r="G3" i="35"/>
  <c r="F12" i="35"/>
  <c r="G12" i="35" s="1"/>
  <c r="G34" i="33"/>
  <c r="G35" i="33"/>
  <c r="E15" i="33"/>
  <c r="G5" i="28"/>
  <c r="D18" i="19"/>
  <c r="G15" i="23"/>
  <c r="F26" i="23"/>
  <c r="G19" i="23"/>
  <c r="F8" i="30"/>
  <c r="F17" i="44"/>
  <c r="G17" i="44" s="1"/>
  <c r="F18" i="33"/>
  <c r="G4" i="44"/>
  <c r="E23" i="17"/>
  <c r="G9" i="17"/>
  <c r="D21" i="22"/>
  <c r="E14" i="33"/>
  <c r="G24" i="19"/>
  <c r="B13" i="49"/>
  <c r="E26" i="23"/>
  <c r="G4" i="18"/>
  <c r="G15" i="31"/>
  <c r="E26" i="32"/>
  <c r="G22" i="32"/>
  <c r="G7" i="21"/>
  <c r="G5" i="29"/>
  <c r="E6" i="28"/>
  <c r="E17" i="33" s="1"/>
  <c r="E19" i="20"/>
  <c r="D12" i="35"/>
  <c r="D24" i="33" s="1"/>
  <c r="C8" i="51" s="1"/>
  <c r="G7" i="26"/>
  <c r="G7" i="48" s="1"/>
  <c r="E20" i="26"/>
  <c r="E7" i="48"/>
  <c r="E8" i="48"/>
  <c r="E54" i="21"/>
  <c r="E8" i="33"/>
  <c r="F14" i="48"/>
  <c r="E4" i="50" s="1"/>
  <c r="F18" i="18"/>
  <c r="F14" i="33"/>
  <c r="G5" i="18"/>
  <c r="E17" i="48"/>
  <c r="D7" i="50" s="1"/>
  <c r="E20" i="29"/>
  <c r="F17" i="33"/>
  <c r="G7" i="29"/>
  <c r="F20" i="28"/>
  <c r="F13" i="33"/>
  <c r="F13" i="48"/>
  <c r="E3" i="50" s="1"/>
  <c r="C26" i="33" l="1"/>
  <c r="F44" i="33" s="1"/>
  <c r="G41" i="33" s="1"/>
  <c r="G6" i="28"/>
  <c r="G23" i="17"/>
  <c r="G10" i="33"/>
  <c r="F10" i="49" s="1"/>
  <c r="G20" i="24"/>
  <c r="G10" i="48"/>
  <c r="G21" i="22"/>
  <c r="G36" i="48"/>
  <c r="G34" i="48"/>
  <c r="C9" i="50"/>
  <c r="D3" i="49"/>
  <c r="E13" i="48"/>
  <c r="D3" i="50" s="1"/>
  <c r="E15" i="48"/>
  <c r="D5" i="50" s="1"/>
  <c r="E20" i="28"/>
  <c r="G20" i="28" s="1"/>
  <c r="E13" i="33"/>
  <c r="G24" i="33"/>
  <c r="F8" i="51" s="1"/>
  <c r="F26" i="35"/>
  <c r="G26" i="35" s="1"/>
  <c r="F24" i="33"/>
  <c r="E8" i="51" s="1"/>
  <c r="G4" i="33"/>
  <c r="F4" i="49" s="1"/>
  <c r="G30" i="19"/>
  <c r="G20" i="26"/>
  <c r="E16" i="48"/>
  <c r="D6" i="50" s="1"/>
  <c r="E38" i="17"/>
  <c r="E16" i="33"/>
  <c r="G8" i="30"/>
  <c r="F11" i="33"/>
  <c r="E11" i="49" s="1"/>
  <c r="F21" i="30"/>
  <c r="F11" i="48"/>
  <c r="D4" i="33"/>
  <c r="E11" i="33"/>
  <c r="D11" i="49" s="1"/>
  <c r="E21" i="30"/>
  <c r="E4" i="48"/>
  <c r="E30" i="19"/>
  <c r="E4" i="33"/>
  <c r="D4" i="49" s="1"/>
  <c r="E34" i="22"/>
  <c r="E9" i="33"/>
  <c r="D9" i="49" s="1"/>
  <c r="E9" i="48"/>
  <c r="F21" i="33"/>
  <c r="E5" i="51" s="1"/>
  <c r="G26" i="32"/>
  <c r="G21" i="33" s="1"/>
  <c r="F5" i="51" s="1"/>
  <c r="F40" i="32"/>
  <c r="F9" i="48"/>
  <c r="F34" i="22"/>
  <c r="F9" i="33"/>
  <c r="E9" i="49" s="1"/>
  <c r="F34" i="25"/>
  <c r="F5" i="33"/>
  <c r="E5" i="49" s="1"/>
  <c r="F5" i="48"/>
  <c r="D5" i="48"/>
  <c r="D5" i="33"/>
  <c r="C5" i="49" s="1"/>
  <c r="G7" i="33"/>
  <c r="F7" i="49" s="1"/>
  <c r="E6" i="48"/>
  <c r="E6" i="33"/>
  <c r="D6" i="49" s="1"/>
  <c r="E39" i="23"/>
  <c r="G18" i="48"/>
  <c r="F8" i="50" s="1"/>
  <c r="G18" i="33"/>
  <c r="F74" i="39"/>
  <c r="F23" i="33"/>
  <c r="E7" i="51" s="1"/>
  <c r="G61" i="39"/>
  <c r="G23" i="33" s="1"/>
  <c r="F7" i="51" s="1"/>
  <c r="G12" i="33"/>
  <c r="G19" i="27"/>
  <c r="G12" i="48"/>
  <c r="F12" i="49" s="1"/>
  <c r="F38" i="17"/>
  <c r="F16" i="48"/>
  <c r="E6" i="50" s="1"/>
  <c r="F16" i="33"/>
  <c r="E23" i="33"/>
  <c r="D7" i="51" s="1"/>
  <c r="E74" i="39"/>
  <c r="E21" i="33"/>
  <c r="D5" i="51" s="1"/>
  <c r="E40" i="32"/>
  <c r="D9" i="48"/>
  <c r="D9" i="33"/>
  <c r="C9" i="49" s="1"/>
  <c r="F6" i="33"/>
  <c r="E6" i="49" s="1"/>
  <c r="G26" i="23"/>
  <c r="F6" i="48"/>
  <c r="F39" i="23"/>
  <c r="D6" i="33"/>
  <c r="C6" i="49" s="1"/>
  <c r="D6" i="48"/>
  <c r="E5" i="33"/>
  <c r="D5" i="49" s="1"/>
  <c r="E34" i="25"/>
  <c r="E5" i="48"/>
  <c r="G19" i="33"/>
  <c r="F3" i="51" s="1"/>
  <c r="F19" i="38"/>
  <c r="G19" i="38" s="1"/>
  <c r="F19" i="33"/>
  <c r="E3" i="51" s="1"/>
  <c r="G17" i="33"/>
  <c r="G17" i="48"/>
  <c r="F7" i="50" s="1"/>
  <c r="F20" i="29"/>
  <c r="F15" i="33"/>
  <c r="F15" i="48"/>
  <c r="E5" i="50" s="1"/>
  <c r="E9" i="50" s="1"/>
  <c r="G18" i="18"/>
  <c r="G14" i="48"/>
  <c r="F4" i="50" s="1"/>
  <c r="G14" i="33"/>
  <c r="F8" i="33"/>
  <c r="F8" i="48"/>
  <c r="F54" i="21"/>
  <c r="G13" i="33"/>
  <c r="G19" i="20"/>
  <c r="G13" i="48"/>
  <c r="F3" i="50" s="1"/>
  <c r="D8" i="49"/>
  <c r="G42" i="33" l="1"/>
  <c r="G43" i="33"/>
  <c r="D9" i="50"/>
  <c r="F9" i="50" s="1"/>
  <c r="G34" i="22"/>
  <c r="F26" i="33"/>
  <c r="E19" i="48"/>
  <c r="E42" i="48" s="1"/>
  <c r="E26" i="33"/>
  <c r="D10" i="51"/>
  <c r="G74" i="39"/>
  <c r="G9" i="33"/>
  <c r="F9" i="49" s="1"/>
  <c r="G9" i="48"/>
  <c r="G40" i="32"/>
  <c r="C4" i="49"/>
  <c r="C13" i="49" s="1"/>
  <c r="G11" i="33"/>
  <c r="F11" i="49" s="1"/>
  <c r="G11" i="48"/>
  <c r="G21" i="30"/>
  <c r="F6" i="49"/>
  <c r="G39" i="23"/>
  <c r="G6" i="48"/>
  <c r="D19" i="48"/>
  <c r="D13" i="49"/>
  <c r="E10" i="51"/>
  <c r="G38" i="17"/>
  <c r="G5" i="48"/>
  <c r="G34" i="25"/>
  <c r="G5" i="33"/>
  <c r="F5" i="49" s="1"/>
  <c r="G16" i="33"/>
  <c r="G16" i="48"/>
  <c r="F6" i="50" s="1"/>
  <c r="G15" i="33"/>
  <c r="G20" i="29"/>
  <c r="G15" i="48"/>
  <c r="F5" i="50" s="1"/>
  <c r="F19" i="48"/>
  <c r="G54" i="21"/>
  <c r="G8" i="48"/>
  <c r="G8" i="33"/>
  <c r="F8" i="49" s="1"/>
  <c r="E8" i="49"/>
  <c r="E13" i="49" s="1"/>
  <c r="F13" i="49" l="1"/>
  <c r="F10" i="51"/>
  <c r="G26" i="33"/>
  <c r="E49" i="33"/>
  <c r="F49" i="33"/>
  <c r="F42" i="48"/>
  <c r="G42" i="48" s="1"/>
  <c r="G19" i="48"/>
  <c r="G49" i="33" l="1"/>
  <c r="D3" i="32"/>
  <c r="D26" i="32" s="1"/>
  <c r="D21" i="33" s="1"/>
  <c r="D26" i="33" s="1"/>
  <c r="C5" i="51" l="1"/>
  <c r="C10" i="51" s="1"/>
</calcChain>
</file>

<file path=xl/comments1.xml><?xml version="1.0" encoding="utf-8"?>
<comments xmlns="http://schemas.openxmlformats.org/spreadsheetml/2006/main">
  <authors>
    <author>Microsoft Office User</author>
  </authors>
  <commentList>
    <comment ref="F7" authorId="0" shape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  <comment ref="F11" authorId="0" shape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Valor ejecutado 2020</t>
        </r>
      </text>
    </comment>
  </commentList>
</comments>
</file>

<file path=xl/sharedStrings.xml><?xml version="1.0" encoding="utf-8"?>
<sst xmlns="http://schemas.openxmlformats.org/spreadsheetml/2006/main" count="834" uniqueCount="349">
  <si>
    <t>TOTAL EJECUCIÓN</t>
  </si>
  <si>
    <t>PROYECTO</t>
  </si>
  <si>
    <t>DESPACHO DEL ALCALDE</t>
  </si>
  <si>
    <t>Apropiacion Definitiva</t>
  </si>
  <si>
    <t>Registro Presupuestal</t>
  </si>
  <si>
    <t>1. DESPACHO</t>
  </si>
  <si>
    <t>DEPARTAMENTO ADMINISTRATIVO DE HACIENDA</t>
  </si>
  <si>
    <t>DEPARTAMENTO ADMINISTRATIVO DE PLANEACION</t>
  </si>
  <si>
    <t>DEPARTAMENTO ADMINISTRATIVO DE CONTROL INTERNO</t>
  </si>
  <si>
    <t>4.1 FONDO MUNICIPAL DE VIVIENDA FOMVIVIENDA</t>
  </si>
  <si>
    <t>4.2 EMPRESA DE DESARROLLO URBANO EDUA</t>
  </si>
  <si>
    <t>4.3 CORPORACION DE CULTURA Y TURISMO CORPOCULTURA</t>
  </si>
  <si>
    <t>4.4 INSTITUTO MUNICIPAL DE DEPORTE IMDERA</t>
  </si>
  <si>
    <t>RANGO</t>
  </si>
  <si>
    <t>CANTIDAD</t>
  </si>
  <si>
    <t>%EFICIENCIA</t>
  </si>
  <si>
    <t>EJECUCIÓN DE METAS</t>
  </si>
  <si>
    <t>TOTAL METAS</t>
  </si>
  <si>
    <t>SECRETARÍA DE DESARROLLO SOCIAL</t>
  </si>
  <si>
    <t>SECRETARÍA DE SALUD</t>
  </si>
  <si>
    <t>SECRETARÍA DE DESARROLLO ECONÓMICO</t>
  </si>
  <si>
    <t>SECRETARÍA DE EDUCACIÓN</t>
  </si>
  <si>
    <t>SECRETARÍA DE TRÁNSITO Y TRANSPORTE</t>
  </si>
  <si>
    <t>SECRETARIA TICS</t>
  </si>
  <si>
    <t>DEPARTAMENTO ADMINISTRATIVO DE FORTALECIMIENTO INSTITUCIONAL</t>
  </si>
  <si>
    <t>DEPARTAMENTO ADMINISTRATIVO JURÍDICO</t>
  </si>
  <si>
    <t>SECRETARÍA DE GOBIERNO Y CONVIVENCIA</t>
  </si>
  <si>
    <t>TOTAL DEPENDENCIAS</t>
  </si>
  <si>
    <t>EMPRESA DE FOMENTO DE VIVIENDA</t>
  </si>
  <si>
    <t>EMPRESA DE DESARROLLO URBANO EDUA</t>
  </si>
  <si>
    <t>TOTAL EJECUTADO</t>
  </si>
  <si>
    <t>ALCALDÍA MUNICIPAL DE ARMENIA</t>
  </si>
  <si>
    <t>SECRETARÍA DE INFRAESTRUCTURA</t>
  </si>
  <si>
    <t xml:space="preserve">3.7. CONTROL INTERNO DISCIPLINARIO </t>
  </si>
  <si>
    <t>3.6.  CONTROL INTERNO</t>
  </si>
  <si>
    <t>3.4. BIENES Y SUMINISTROS</t>
  </si>
  <si>
    <t>3.2. JURIDICA</t>
  </si>
  <si>
    <t>3.1. FORTALECIMIENTO INSTITUCIONAL</t>
  </si>
  <si>
    <t>2.8. SECRETARIA DE LAS TECNOLOGIAS TICS</t>
  </si>
  <si>
    <t>2.7. SECRETARIA DE TRANSITO Y TRANSPORTE</t>
  </si>
  <si>
    <t>2.6. SECRETARIA DE INFRAESTRUCTURA</t>
  </si>
  <si>
    <t>2.3. SALUD</t>
  </si>
  <si>
    <t>2.2. DESARROLLO SOCIAL</t>
  </si>
  <si>
    <t>2.1. GOBIERNO Y CONVIVENCIA</t>
  </si>
  <si>
    <t>2.4. DESARROLLO ECONÓMICO</t>
  </si>
  <si>
    <t>2.5. EDUCACIÓN</t>
  </si>
  <si>
    <t>3.5. PLANEACIÓN</t>
  </si>
  <si>
    <t>4.5 EMPRESAS PUBLICAS DE ARMENIA-EPA</t>
  </si>
  <si>
    <t>4.6 AMABLE E.I.C.E</t>
  </si>
  <si>
    <t xml:space="preserve">EMPRESAS PÚBLICAS DE ARMENIA </t>
  </si>
  <si>
    <t xml:space="preserve">Mas Prestación de servicios de salud </t>
  </si>
  <si>
    <t>Inmobiliaria Municipal</t>
  </si>
  <si>
    <t>TOTAL EJECUCION</t>
  </si>
  <si>
    <t>TOTAL EJECUCUCIÓN</t>
  </si>
  <si>
    <t>Número de Actividades Metas  producto  del proyecto a la fecha de corte</t>
  </si>
  <si>
    <t>% ejecución presupuestal a la fecha de corte</t>
  </si>
  <si>
    <t>Recursos asignados, en pesos en el momento presupuestal
 (Apropiación Definitiva)</t>
  </si>
  <si>
    <t>Recursos ejecutados en pesos en el momento presupuestal 
(Reg. Presupuestal)</t>
  </si>
  <si>
    <t>Todos Somos Ciudadanos</t>
  </si>
  <si>
    <t>Todos Informados</t>
  </si>
  <si>
    <t>Todos Pá la Calle</t>
  </si>
  <si>
    <t>Todos en Paz</t>
  </si>
  <si>
    <t>Promedio de avance de la meta del indicador de producto del proyecto a la fecha de corte</t>
  </si>
  <si>
    <t>CONSTRUCCIÓN DE CENTRO DE CONVIVENCIA CIUDADANA</t>
  </si>
  <si>
    <t>APOYO A ESTABLECIMIENTOS DE RECLUSIÓN</t>
  </si>
  <si>
    <t>PREVENCIÓN Y CONVIVENCIA CON NUESTROS ANIMALES</t>
  </si>
  <si>
    <t>IMPLEMENTACIÓN DE ACCIONES PARA UNA ARMENIA HUMANITARIA</t>
  </si>
  <si>
    <t>FORTALECIMIENTO INSTITUCIONAL DE LA ACTIVIDAD DE LA GESTIÓN DEL RIESGO DE DESASTRES.</t>
  </si>
  <si>
    <t>FORTALECIMIENTO INSTITUCIONAL DE LA ACTIVIDAD BOMBERIL</t>
  </si>
  <si>
    <t>CULTURIZANDO LA VENTA INFORMAL EN EL ESPACIO PÚBLICO</t>
  </si>
  <si>
    <t>FORTALECIMIENTO OPERACIONAL DE LAS COMISARIAS DE FAMILIA</t>
  </si>
  <si>
    <t>FOMENTANDO LA CULTURA CIUDADANA PARA DISMINUIR LA AFECTACIÓN DE LA CONVIVENCIA.</t>
  </si>
  <si>
    <t>GOBERNABILIDAD CULTURAL Y PLURIÉTNICA CON IGUALDAD SOCIAL</t>
  </si>
  <si>
    <t>CULTURA DE PAZ Y PROMOCIÓN DE LOS DERECHOS HUMANOS</t>
  </si>
  <si>
    <t>GENERANDO CULTURA EN DERECHOS Y DEBERES PARA LA PROTECCION DEL CONSUMIDOR</t>
  </si>
  <si>
    <t>VIGILANCIA Y SEGURIDAD CIUDADANA</t>
  </si>
  <si>
    <t>FORTALECIMIENTO DE LAS ACCIONES PREVENTIVAS PARA GARANTIZAR LA SEGURIDAD Y CONVIVENCIA CIUDADANA (FONSET)</t>
  </si>
  <si>
    <t>Generación de condiciones para el crecimiento económico y empleo - productividad y competitividad de las empresas del municipio de armenia</t>
  </si>
  <si>
    <t>Apoyo e inclusión de productores rurales del municipio de armenia en cadenas productivas, de valor agregado y ciencia, tecnología e innovación</t>
  </si>
  <si>
    <t>Implementación Incremento de las capacidades de apropiación de la Ciencia, la Tecnología y la Innovación en Armenia</t>
  </si>
  <si>
    <t>EDUCACION INICIAL -CONSTRUCCION DE INFRAESTRUCTURA</t>
  </si>
  <si>
    <t>EDUCACION INICIAL - ADECUACION  Y MEJORAMIENTO DE INFRAESTRUCTURA</t>
  </si>
  <si>
    <t xml:space="preserve">ATENCION INTEGRAL EDUCACION INICIAL </t>
  </si>
  <si>
    <t xml:space="preserve">FUNCIONAMIENTO Y PRESTACION DEL SERVICIO EDUCATIVO DE LAS INSTITUCIONES EDUCATIVAS </t>
  </si>
  <si>
    <t xml:space="preserve">FONDOS DE SERVICIOS EDUCATIVOS  </t>
  </si>
  <si>
    <t>ATENCION A POBLACIONES ETNIA AFRO E INDIGENAS</t>
  </si>
  <si>
    <t xml:space="preserve">ATENCION A POBLACIONES VICTIMAS DEL CONFLICTO, VULNERABLES, JOVENES Y ADULTOS </t>
  </si>
  <si>
    <t xml:space="preserve">ATENCION A POBLACION  CON NECESIDADES EDUCATIVAS ESPECIALES O CON DISCAPACIDAD </t>
  </si>
  <si>
    <t xml:space="preserve">ACOMPAÑAMIENTO PARA LA MEJORA DE LA CALIDAD EDUCATIVA Y SEGUIMIENTO A LOS PROCESOS DE APRENDIZAJE </t>
  </si>
  <si>
    <t xml:space="preserve">JORNADA UNICA EN EL MARCO DE LA ATENCIÓN INTEGRAL </t>
  </si>
  <si>
    <t xml:space="preserve">JORNADAS COMPLEMENTARIAS </t>
  </si>
  <si>
    <t>CONSTRUCCIÓN, MEJORAMIENTO Y MANTENIMIENTO DE INSTITUCIONES EDUCATIVAS</t>
  </si>
  <si>
    <t>ESCUELA DE MUSICA</t>
  </si>
  <si>
    <t xml:space="preserve">CULTURA CIUDADANA Y CONVIVENCIA ESCOLAR  </t>
  </si>
  <si>
    <t xml:space="preserve">PLAN   DE LECTURA Y ESCRITURA </t>
  </si>
  <si>
    <t>DOTACIÓN DE EQUIPOS, SOFTWARE Y TEXTOS PARA LAS INSTITUCIONES EDUCATIVAS.</t>
  </si>
  <si>
    <t>PROYECTO EDUCATIVO AMBIENTAL Y DE GESTIÓN DEL RIESGO (PRAE - PEGER)</t>
  </si>
  <si>
    <t>ALIMENTACION ESCOLAR</t>
  </si>
  <si>
    <t>TRANSPORTE ESCOLAR</t>
  </si>
  <si>
    <t>BECAS PARA ESTUDIANTES  QUE  INGRESAN  A LA UNIVERSIDAD</t>
  </si>
  <si>
    <t>SERVICIOS PUBLICOS</t>
  </si>
  <si>
    <t>TRANSFERENCIAS A LAS INSTITUCIONES EDUCATIVAS</t>
  </si>
  <si>
    <t>BILINGÜISMO</t>
  </si>
  <si>
    <t>ARTICULACIÓN CON LA MEDIA</t>
  </si>
  <si>
    <t>DOTACIÓN, USO Y APROVECHAMIENTO DE TIC EN EL AULA</t>
  </si>
  <si>
    <t>FORMACIÓN PARA EL TRABAJO Y EL DESARROLLO HUMANO</t>
  </si>
  <si>
    <t xml:space="preserve">PROYECTO DE TECNOACADEMIA </t>
  </si>
  <si>
    <t xml:space="preserve">ESCUELAS SALUDABLES </t>
  </si>
  <si>
    <t>ESCUELA DE PADRES</t>
  </si>
  <si>
    <t>PROYECTO DE IMPLEMENTACIÓN DE PRÁCTICAS EDUCATIVAS Y PEDAGÓGICAS</t>
  </si>
  <si>
    <t>PLAN ESTRATÉGICO DE EDUCACIÓN 2020-2023</t>
  </si>
  <si>
    <t>PROYECTO DE EMPRENDERISMO</t>
  </si>
  <si>
    <t>JÓVENES PROGRAMADORES SIGLO XXI</t>
  </si>
  <si>
    <t xml:space="preserve">MEJORAMIENTO Y SEGUIMIENTO A LA GESTION  EN LOS PROCESOS DE LA SECRETARIA DE EDUCACION </t>
  </si>
  <si>
    <t>CONECTIVIDAD EN LAS INSTITUCIONES EDUCATIVAS</t>
  </si>
  <si>
    <t xml:space="preserve">ATENCION AL CIUDADANO </t>
  </si>
  <si>
    <t>FUNCIONAMIENTO Y PRESTACION DE SERVICIOS DEL SECTOR  EDUCATIVO DEL NIVEL CENTRAL</t>
  </si>
  <si>
    <t>Sostenibilidad y fortalecimiento de la vigilancia, control, educación y regulación de la infraestructura vial del municipio de armenia</t>
  </si>
  <si>
    <t>La seguridad y Movilidad Vial es PA'TODOS</t>
  </si>
  <si>
    <t>Movilidad Sostenible PA'TODOS</t>
  </si>
  <si>
    <t>Mas Gestión Intitucional
Mas Usuarios Satisfechos</t>
  </si>
  <si>
    <t>Armenia Es pa Todos con Gestión TIC</t>
  </si>
  <si>
    <t>Ecosistema TIC Pa Todos</t>
  </si>
  <si>
    <t>Fortalecimiento TIC Pa´ todos,  Armenia Ciudad Inteligente</t>
  </si>
  <si>
    <t>Ciencia Tecnología e Innovación un futuro Pa' Todos</t>
  </si>
  <si>
    <t>Armenia Ciencia, Tecnologia e Innovación</t>
  </si>
  <si>
    <t>Complejo Archivístico, de conservación y de valor histórico del Municipio de Armenia Museo de la memoria</t>
  </si>
  <si>
    <t>Fortalecimiento del Talento Humano y Modernización Institucional Pa`Todos</t>
  </si>
  <si>
    <t>Creación del Proceso de Gestión Documental y Archivo en el Municipio de Armenia</t>
  </si>
  <si>
    <t>Fortalecimiento de la Gestión y Dirección del Sector Justicia en el Derecho en el Municipio de Armenia</t>
  </si>
  <si>
    <t>Fortalecimiento de la Gestión y Dirección del Sector Justicia y del Derecho y Modernizacíón de la infraestructura tecnológica del Departamento Administrativo Jurídico del Municipio de Armenia</t>
  </si>
  <si>
    <t>4.7.REDSALUD</t>
  </si>
  <si>
    <t>Modernización tecnológica y administrativa para la gestión financiera y fiscal</t>
  </si>
  <si>
    <t>Cultura y legalidad para el contribuyente cuyabro</t>
  </si>
  <si>
    <t>Catastro multipropósito</t>
  </si>
  <si>
    <t>Adquisición y/o mantenimiento de las áreas de conservación y protección de fuentes hídricas del Municipio de Armenia.</t>
  </si>
  <si>
    <t>Administración efectiva de los bienes muebles e inmuebles propiedad del Municipio de Armenia</t>
  </si>
  <si>
    <t>Adecuación y mejoramiento de los bienes del Municipio del Armenia</t>
  </si>
  <si>
    <t>Auditorías Internas basadas en Riesgos y Procesos de Acompañamiento y Asesoría.</t>
  </si>
  <si>
    <t xml:space="preserve"> Evaluación Independiente del Sistema de Control Interno y Atención a Entes de Control.</t>
  </si>
  <si>
    <t>Valoración de Riesgos y Enfoque hacia la prevención.</t>
  </si>
  <si>
    <t>Sistema de emergencias medicas (SEM)</t>
  </si>
  <si>
    <t>Armenia asegurada en salud</t>
  </si>
  <si>
    <t>Calidad  en la prestación del servicio</t>
  </si>
  <si>
    <t>Subsidio a la demanda</t>
  </si>
  <si>
    <t>Participación social en Salud</t>
  </si>
  <si>
    <t>Promoción de la Salud y Gestión del Riesgo para las Enfermedades Crónicas NO Transmisibles</t>
  </si>
  <si>
    <t>Promoción de la Salud y Gestión del Riesgo en la Salud Sexual y Reproductiva</t>
  </si>
  <si>
    <t>Gestión de la salud pública</t>
  </si>
  <si>
    <t>Atención Diferencial a Poblaciones Vulnerables</t>
  </si>
  <si>
    <t>Intervenciones colectivas</t>
  </si>
  <si>
    <t>Preparación de Respuesta de Salud Pública ante las Emergencia y Desastres</t>
  </si>
  <si>
    <t>Promoción de la Seguridad Alimentaria  y gestión del riesgo por el consumo</t>
  </si>
  <si>
    <t>Promoción de la Salud y Gestión del Riesgo en Zoonosis</t>
  </si>
  <si>
    <t>Epidemiología y Demografía</t>
  </si>
  <si>
    <t>Promoción de la Salud y Gestión del Riesgo en la Salud Mental</t>
  </si>
  <si>
    <t>Promoción de la Salud y Gestión de Riesgos Ambientales por Agua, Aire, Residuos, Movilidad</t>
  </si>
  <si>
    <t xml:space="preserve">Promoción de la Salud en Entornos Laborales </t>
  </si>
  <si>
    <t>Promoción de la Salud y Gestión del Riesgo para las Enfermedades Crónicas Transmisibles</t>
  </si>
  <si>
    <t>Promoción de la Salud y Gestión del Riesgo en Vectores</t>
  </si>
  <si>
    <t xml:space="preserve">Más Cuidado a la salud </t>
  </si>
  <si>
    <t xml:space="preserve"> Fortalecimiento Institucional de Apoyo a los Servicios de Salud</t>
  </si>
  <si>
    <t>Fortalecimiento de capacidades para la generación y formalización de empleo en la ciudad de Armenia</t>
  </si>
  <si>
    <t xml:space="preserve">Fortalecimiento de la cultura de prevención respecto de las actuaciones de los funcionarios de la Administración Municipal, enmarcados en la Constitución y la Ley. </t>
  </si>
  <si>
    <t xml:space="preserve">Gestion, Formulación de proyectos VIS (Vivienda interés social) y VIP (Vivienda de interés prioritario) en sector urbano  del municipio de Armenia, Departamento del Quindío. </t>
  </si>
  <si>
    <t>Mejoramiento de vivienda, de entorno y de titulación de predios en convenios de cooperación y financiación con entidades de orden nacional, Departamento o Municipal de Armenia.</t>
  </si>
  <si>
    <t xml:space="preserve">Fortalecimiento institucional FOMVIVIENDA Armenia. </t>
  </si>
  <si>
    <t>Gestión de Convenios y/o Contratos  Interadministrativos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</si>
  <si>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</si>
  <si>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</si>
  <si>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</si>
  <si>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</si>
  <si>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</si>
  <si>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</si>
  <si>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</si>
  <si>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 SERVICIO DE PROMOCIÓN DE LA ACTIVIDAD FÍSICA, LA RECREACIÓN Y EL DEPORTE  </t>
  </si>
  <si>
    <t xml:space="preserve">SERVICIO DE ESCUELAS DEPORTIVAS </t>
  </si>
  <si>
    <t>SERVICIO DE APOYO A LA ACTIVIDAD FÍSICA, LA RECREACIÓN Y EL DEPORTE</t>
  </si>
  <si>
    <t>SERVICIO DE MANTENIMIENTO A LA INFRAESTRUCTURA DEPORTIVA</t>
  </si>
  <si>
    <t>SERVICIO DE PROMOCIÓN Y DESARROLLO DE LOS JUEGOS NACIONALES Y PARANACIONALES</t>
  </si>
  <si>
    <t xml:space="preserve">Actividades de Gestión </t>
  </si>
  <si>
    <t xml:space="preserve">EJECUCIÓN POR ACTIVIDADES </t>
  </si>
  <si>
    <t>TOTAL ACTIVIDADES</t>
  </si>
  <si>
    <t>Servicio de transporte público organizado implementados (SITM. SITP. SETP, SITR)</t>
  </si>
  <si>
    <t>Implementación de la red semaforica y el centro de control de trafico para el SETP de Armenia</t>
  </si>
  <si>
    <t>Implementación del sistema de gestión y control de flota para el SETP de Armenia</t>
  </si>
  <si>
    <t xml:space="preserve">Paradero con Espacio Público y obras complementariaas PEP Hospital San Juan de Dios </t>
  </si>
  <si>
    <t xml:space="preserve">Rehabilitación vial de la carrera 19 tramo centro desde la calle 10 norte hasta la calle 25 </t>
  </si>
  <si>
    <t xml:space="preserve">Proyecto vial de la calle 50 tramo III (puente los quindos) y obras complementarias </t>
  </si>
  <si>
    <t xml:space="preserve">Terminal de ruta puerto espejo y obras complementarias </t>
  </si>
  <si>
    <t xml:space="preserve">Renovación de andenes del centro tramo 6 </t>
  </si>
  <si>
    <t>EJECUCIÓN POR DEPENDENCIAS/ENTIDADES</t>
  </si>
  <si>
    <t>Consolidación de los drenajes urbanos y espacios públicos naturales</t>
  </si>
  <si>
    <t xml:space="preserve">Estrategias de mitigación y adaptación al cambio climático </t>
  </si>
  <si>
    <t>Estudios técnicos sobre recursos hidricos</t>
  </si>
  <si>
    <t xml:space="preserve">Gestión de residuos y adaptación a la estrategia de economía circular </t>
  </si>
  <si>
    <t>Armenia Capital Verde - Paisaje Cultural Cafetero</t>
  </si>
  <si>
    <t xml:space="preserve">Corresponsabilidad ambiental </t>
  </si>
  <si>
    <t>Educación Ambiental Pa´Todos</t>
  </si>
  <si>
    <t xml:space="preserve">Inventario de asentamientos sub-normales </t>
  </si>
  <si>
    <t>Control Físico y Urbano</t>
  </si>
  <si>
    <t>Manuales Urbanos</t>
  </si>
  <si>
    <t>Laboratorio de Planificación, urbanismo y arquitectura de la ciudad</t>
  </si>
  <si>
    <t xml:space="preserve">Diagnosticos, suelos de protección ambiental. </t>
  </si>
  <si>
    <t xml:space="preserve">Expediente Municipal </t>
  </si>
  <si>
    <t>Unidades de Planificación Intermedia</t>
  </si>
  <si>
    <t>Bienestar para los seres sintientes</t>
  </si>
  <si>
    <t>Planeando Pa´Todos</t>
  </si>
  <si>
    <t xml:space="preserve">Todos participando </t>
  </si>
  <si>
    <t>Infraestructura de Datos Espaciales</t>
  </si>
  <si>
    <t>Inspección Urbana</t>
  </si>
  <si>
    <t>Documento de formulación de política pública</t>
  </si>
  <si>
    <t xml:space="preserve"> % Eficiencia 2021</t>
  </si>
  <si>
    <t>% Eficiencia 2021</t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</si>
  <si>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Expansión de los componentes del sistema de captación, aducción y tratamiento de agua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Expansión de los componentes del sistema de captación, aducción y tratamiento de agua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</si>
  <si>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Expansión de los componentes del sistema de distribución de agua potable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Construcción de redes de Acueducto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</si>
  <si>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Expansión de los componentes del sistema de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Construcción de redes de Alcantarillado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</si>
  <si>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Expansión de los componentes del sistema de colectores, interceptores y emisarios finales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Construcción de colectores, interceptores y emisarios finales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</si>
  <si>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Implementación de Sistemas de Tratamiento de Aguas Residuales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PTAR La Florida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</si>
  <si>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los componentes del  Sistema de captación, aducción y tratamiento.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los componentes del Sistema de captación y aducción de agua cruda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</si>
  <si>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los componentes del  Sistema de captación, aducción y tratamiento.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los componentes del sistema de producción de agua potable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</si>
  <si>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los componentes del sistema de distribución de agua potable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redes de Acueducto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</si>
  <si>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 de los componentes del sistema de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redes de Alcantarillado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</si>
  <si>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los componentes del sistema de colectores, interceptores y emisarios finales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componentes del sistema de colectores, interceptores y emisarios finales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</si>
  <si>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componentes del Sistema de Tratamiento de Aguas Residuales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los componentes del Sistema de Tratamiento de Aguas Residuales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</si>
  <si>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captación, aducción y tratamiento de agua cruda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Mejoramiento de infraestructura y equipos de captación y aducción de agua cruda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</si>
  <si>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captación, aducción y tratamiento de agua cruda
</t>
    </r>
    <r>
      <rPr>
        <b/>
        <sz val="10"/>
        <color theme="1"/>
        <rFont val="Arial"/>
        <family val="2"/>
      </rPr>
      <t xml:space="preserve">
Proyecto:</t>
    </r>
    <r>
      <rPr>
        <sz val="10"/>
        <color theme="1"/>
        <rFont val="Arial"/>
        <family val="2"/>
      </rPr>
      <t xml:space="preserve">
Intervención de los túneles de aducción de agua cruda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</si>
  <si>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captación, aducción y tratamiento de agua cruda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Rehabilitación de los componentes de la Planta de Tratamiento agua potable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</si>
  <si>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captación, aducción y tratamiento de agua cruda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Mejoramiento del sistema para producción de agua potable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</si>
  <si>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distribución de agua potable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Rehabilitación de redes de Acueducto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</si>
  <si>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Rehabilitación de redes de Alcantarillado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</si>
  <si>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colectores, interceptores y emisarios finales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Rehabilitación de colectores, interceptores y emisarios finales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</si>
  <si>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Rehabilitación  y/o mejoramiento de los componentes del Sistema de Tratamiento de Aguas Residuales
</t>
    </r>
    <r>
      <rPr>
        <b/>
        <sz val="10"/>
        <color theme="1"/>
        <rFont val="Arial"/>
        <family val="2"/>
      </rPr>
      <t xml:space="preserve">
Proyecto:</t>
    </r>
    <r>
      <rPr>
        <sz val="10"/>
        <color theme="1"/>
        <rFont val="Arial"/>
        <family val="2"/>
      </rPr>
      <t xml:space="preserve">
Rehabilitación  y/o mejoramiento de los componentes del Sistema de Tratamiento de Aguas Residuales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</si>
  <si>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Construcción de Infraestructura de Contingencia para el Municipio de Armenia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Construcción de Infraestructura de Contingencia para el Acueducto de Armenia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</si>
  <si>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Reposición u optimización de infraestructura de contingencia del Municipio de Armenia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Reposición u optimización de infraestructura de contingencia del municipio de Armenia</t>
    </r>
  </si>
  <si>
    <r>
      <rPr>
        <b/>
        <sz val="10"/>
        <color theme="1"/>
        <rFont val="Arial"/>
        <family val="2"/>
      </rPr>
      <t>Línea de Proyecto Interna EPA:</t>
    </r>
    <r>
      <rPr>
        <sz val="10"/>
        <color theme="1"/>
        <rFont val="Arial"/>
        <family val="2"/>
      </rPr>
      <t xml:space="preserve"> 
Rehabilitación y /o Mejoramiento de la Infraestructura de Contingencia del Municipio de Armenia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Rehabilitación y /o Mejoramiento de la Infraestructura de Contingencia del municipio de Armenia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</si>
  <si>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Atención a Contingencias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Atención de contingencias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</si>
  <si>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Sistema de Información Geográfico - SIG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y Fortalecimiento Técnico del SIG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</si>
  <si>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Modelación hidráulica de los sistemas de Acueducto y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Modelación Hidráulica del Sistema de Acueducto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</si>
  <si>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Modelación hidráulica de los sistemas de Acueducto y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Aislamiento de Sectores Hidráulicos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</si>
  <si>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Modelación hidráulica de los sistemas de Acueducto y Alcantarillado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Modelación de la calidad del agua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</si>
  <si>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Ingeniería de detalle para el desarrollo de los servicios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Revisión de proyectos hidrosanitarios y control urbano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</si>
  <si>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Ingeniería de detalle para el desarrollo de los servicios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Estudios y diseños para el desarrollo de los servicios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</si>
  <si>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Adquisicion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Adquisición de maquinaria, herramientas y equipos de los servicios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</si>
  <si>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Fomento a la separación, recuperación, aprovechamiento y comercialización de Residuos Solidos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Fomento del desarrollo empresarial en la recuperación, aprovechamiento y comercialización de residuos solidos municipales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</si>
  <si>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Conservación y recuperación de cuencas abastecedoras x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del Modelo para la conservación, recuperación y mantenimiento de la cuenca abastecedora del Rio Quindío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</si>
  <si>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Control y reducción de pérdidas técnicas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Reparación y detección de fugas en infraestructura, conductos, tanques y dispositivos mecánicos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</si>
  <si>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Control y reducción de pérdidas técnicas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Ampliación, mejoramiento y optimización del sistema control Hidráulico,
macromedición y telemetría.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</si>
  <si>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Control y reducción de pérdidas técnicas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Ampliación y/o Reposición de hidrantes y válvulas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</si>
  <si>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Control y reducción de pérdidas comerciales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Expansión de la Micromedición Efectiva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</si>
  <si>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Racionalización del consumo interno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Racionalización del Consumo Interno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</si>
  <si>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Cultura del agua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Programa de educación en Centros Educativos Públicos de la ciudad de Armenia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</si>
  <si>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Cultura del agua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Programa de Educación a usuarios y funcionarios de EPA ESP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</si>
  <si>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Monitoreo y Control de la Calidad del Agua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Monitoreo y Control de la Calidad del Agua cruda y Potable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</si>
  <si>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Monitoreo y Control de la Calidad del Agua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Monitoreo y Control de la Calidad del Agua en las Fuentes Receptoras y vertimientos de EPA ESP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</si>
  <si>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Formulación, implementación y actualización de Planes Institucionales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Actualización de los Planes Estratégicos de la Dirección TIC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</si>
  <si>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Implementación de planes institucionales (Decreto 612 de 2018)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 instrumentos de transparencia </t>
    </r>
  </si>
  <si>
    <r>
      <t xml:space="preserve">Línea de Proyecto Interna EPA: 
Implementación de planes institucionales (Decreto 612 de 2018)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del Plan Estratégico de Tecnologías de la Información y las Comunicaciones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</si>
  <si>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Implementación de planes institucionales (Decreto 612 de 2018)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del Plan de Tratamiento de Riesgos de Seguridad y Privacidad de la Información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</si>
  <si>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Implementación de planes institucionales (Decreto 612 de 2018)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del  Plan de Seguridad y Privacidad de la Información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</si>
  <si>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Implementación de planes institucionales (Decreto 612 de 2018)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Implementación del Plan Estratégico de Talento Humano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</si>
  <si>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Adopción, implementación y seguimiento de las políticas del  Modelo Integrado de Planeación y Gestión 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Adopción, implementación y seguimiento de las políticas del  Modelo Integrado de Planeación y Gestión </t>
    </r>
  </si>
  <si>
    <r>
      <t xml:space="preserve">Línea de Proyecto Interna EPA: 
Mantenimiento y Ampliación del Sistema Gestión Integrado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Sistema de Gestión Integrados</t>
    </r>
  </si>
  <si>
    <r>
      <t xml:space="preserve">Línea de Proyecto Interna EPA: 
Mantenimiento y Ampliación del Sistema Gestión Integrado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 Acreditación del laboratorio de calibración de medidores  </t>
    </r>
  </si>
  <si>
    <r>
      <t xml:space="preserve">Línea de Proyecto Interna EPA: 
Mantenimiento y Ampliación del Sistema Gestión Integrado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Acreditación del Laboratorio de Ensayo de Calidad de Agua</t>
    </r>
  </si>
  <si>
    <r>
      <t xml:space="preserve">Línea de Proyecto Interna EPA: 
Imagen Corporativa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Fortalecimiento de la Imagen Corporativa </t>
    </r>
  </si>
  <si>
    <r>
      <t xml:space="preserve">Línea de Proyecto Interna EPA: 
Imagen Corporativa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Responsabilidad Social Empresarial </t>
    </r>
  </si>
  <si>
    <r>
      <t xml:space="preserve">Línea de Proyecto Interna EPA: 
Apoyo logístico y desarrollo institucional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Adecuación de las instalaciones locativas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</si>
  <si>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Modernización y soporte de sistemas de información, recursos informáticos y de comunicaciones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Modernización y soporte de la Plataforma TIC de EPA ESP  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</si>
  <si>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Seguimientos y controles a los negocios estratégicos de EPA ESP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Seguimientos y controles a los negocios estratégicos de EPA ESP</t>
    </r>
  </si>
  <si>
    <r>
      <rPr>
        <b/>
        <sz val="10"/>
        <color theme="1"/>
        <rFont val="Arial"/>
        <family val="2"/>
      </rPr>
      <t xml:space="preserve">Línea de Proyecto Interna EPA: </t>
    </r>
    <r>
      <rPr>
        <sz val="10"/>
        <color theme="1"/>
        <rFont val="Arial"/>
        <family val="2"/>
      </rPr>
      <t xml:space="preserve">
 Análisis y desarrollo de otras Unidades de Negocio
</t>
    </r>
    <r>
      <rPr>
        <b/>
        <sz val="10"/>
        <color theme="1"/>
        <rFont val="Arial"/>
        <family val="2"/>
      </rPr>
      <t>Proyecto:</t>
    </r>
    <r>
      <rPr>
        <sz val="10"/>
        <color theme="1"/>
        <rFont val="Arial"/>
        <family val="2"/>
      </rPr>
      <t xml:space="preserve">
 Análisis y desarrollo de otras Unidades de Negocio</t>
    </r>
  </si>
  <si>
    <t>% Eficiencia  2021</t>
  </si>
  <si>
    <t>%EFICIENCIA 2021</t>
  </si>
  <si>
    <t xml:space="preserve">RED SALUD ARMENIA </t>
  </si>
  <si>
    <t>IMDERA</t>
  </si>
  <si>
    <t>AMABLE</t>
  </si>
  <si>
    <t>CORPOCULTURA</t>
  </si>
  <si>
    <t>Pa´ la Primera infancia - Horizontes brillantes</t>
  </si>
  <si>
    <t>Pa´ la Infancia - construyamos juntos</t>
  </si>
  <si>
    <t xml:space="preserve">Pa´ la Adolescencia - Entornos protectores </t>
  </si>
  <si>
    <t xml:space="preserve">Juventud Pa´ todos </t>
  </si>
  <si>
    <t xml:space="preserve">Es Pa´ la equidad de género  </t>
  </si>
  <si>
    <t xml:space="preserve">Es Pa´ Armenia diversa </t>
  </si>
  <si>
    <t>Es Pa´ los Adultos Mayores - Atención Integral a la vejez</t>
  </si>
  <si>
    <t>Pa´ un envejecimiento y vejez dignos - CBA , CV</t>
  </si>
  <si>
    <t xml:space="preserve">Es Pa´ el Habitante en situación de calle - Tú cuentas y juntos construimos inclusión social </t>
  </si>
  <si>
    <t xml:space="preserve">Es Pa' las Personas con Discapacidad </t>
  </si>
  <si>
    <t xml:space="preserve">Es Pa´ las Familias </t>
  </si>
  <si>
    <t xml:space="preserve">Es Pa´ Servir - Servicios  Exequiales </t>
  </si>
  <si>
    <t>Es Pa´ participar - cooperación ciudadana activa y social</t>
  </si>
  <si>
    <t>Es Pa´ las JAL - Gestión y procedimientos JAL</t>
  </si>
  <si>
    <t xml:space="preserve">Es Pa´ Decidir - acuerdos participativos - Presupuesto participativo </t>
  </si>
  <si>
    <t xml:space="preserve">Programas Sociales Pa´ las Familias vulnerables de Armenia -Familias en Acción y Jóvenes en Acción, Red Unidos </t>
  </si>
  <si>
    <t>Impulsa2</t>
  </si>
  <si>
    <t>Dotación de sedes de la red de salud pública del municipio.</t>
  </si>
  <si>
    <t>Sistema de Gestión para la Planificación Integral (Asesoria Administrativa)</t>
  </si>
  <si>
    <t>Recursos Gestionados</t>
  </si>
  <si>
    <t>INFRAESTRUCTURA DE LOS PROCESOS CULTURALES Y ARTISTICOS DEL MUNICIPIO</t>
  </si>
  <si>
    <t>INFRAESTRUCTURA PARA LA ACTIVIDAD FISICA, EL DEPORTE Y LA RECREACIÓN EN EL MUNICIPIO DE ARMENIA</t>
  </si>
  <si>
    <t>MANTENIMIENTO DE LA INFRAESTRUCTURA DE LOS CENTROS DE ACOPIO</t>
  </si>
  <si>
    <t xml:space="preserve"> ALUMBRADO PUBLICO </t>
  </si>
  <si>
    <t>CONSTRUCCIÓN, MANTENIMIENTO Y OBRAS COMPLEMENTARIAS A LA INFRAESTRUCTURA VIAL TANTO URBANA COMO RURAL DEL MUNICIPIO</t>
  </si>
  <si>
    <t>ADECUACIÓN DE LOS CENTROS CULTURALES Y ARTÍSTICOS DEL MUNICIPIO ARMENIA</t>
  </si>
  <si>
    <t xml:space="preserve">CONSTRUCCIÓN, REPARACIÓN, MANTENIMIENTO Y AMPLIACIÓN DE LA INFRAESTRUCTURA TURÍSTICA DEL MUNICIPIO </t>
  </si>
  <si>
    <t xml:space="preserve">CONSTRUCCIÓN, AMPLIACIÓN Y MEJORAMIENTO DEL ESPACIO PÚBLICO </t>
  </si>
  <si>
    <t>CONSTRUCCIÓN , REPARACIÓN , MANTENIMIENTO Y AMPLIACIÓN DE LA INFRAESTRUCTURA PARA LA PRIMERA INFANCIA ARMENIA</t>
  </si>
  <si>
    <t>FORMULACIÓN CONSTRUCCIÓN, REPARACIÓN, MANTENIMIENTO E INSTALACIÓN DE LA INFRAESTRUCTURA RECREODEPORTIVA DEL MUNICIPIO</t>
  </si>
  <si>
    <t>PROYECTOS ORIENTADOS A LA INFRAESTRUCTURA PÚBLICA ARMENIA</t>
  </si>
  <si>
    <t>CONSTRUCCIÓN,REPARACIÓN, MANTENIMIENTO Y  ADECUACIÓN DE CENTROS CULTURALES</t>
  </si>
  <si>
    <t>CONSTRUCCIÓN,REPARACIÓN, MANTENIMIENTO DE CENTRO DE PROTECCIÓN ANIMAL ARMENIA</t>
  </si>
  <si>
    <t>CONSTRUCCIÓN, REPARACIÓN,MANTENIMIENTO DEL ESPACIO URBANO</t>
  </si>
  <si>
    <t>PROYECTO DE INFRAESTRUCTURA PÚBLICA Y EL DESARROLLO URBANO</t>
  </si>
  <si>
    <t>INFRAESTRUCTURA DE LA RED VIAL URBANA ARMENIA</t>
  </si>
  <si>
    <t>ESTUDIOS DE PRE INVERSIÓN E INVERSIÓN PARA EL MEJORAMIENTO DEL ESPACIO URBANO</t>
  </si>
  <si>
    <t>FORMULACIÓN TRANSFERENCIA DE RECURSOS PASA SUBSIDIAR A LOS ESTRATOS UNO,DOS Y TRES EN ACUEDUCTO, ALCANTARILLADO Y ASEO ARMENIA</t>
  </si>
  <si>
    <t>DEPENDENCIA y/O ENTIDAD</t>
  </si>
  <si>
    <t>CONSOLIDADO DE EJECUCIÓN ESTRATEGICA Y PRESUPUESTAL
A 31 DE DICIEMBRE DE 2021 
NIVEL CENTRAL Y DESCENTRALIZADO</t>
  </si>
  <si>
    <t>CONSOLIDADO DE EJECUCIÓN ESTRATEGICA Y PRESUPUESTAL
 A 31 DE DICIEMBRE DE 2021 
NIVEL DESCENTRALIZADO</t>
  </si>
  <si>
    <t>CONSOLIDADO DE EJECUCIÓN ESTRATEGICA Y PRESUPUESTAL
 A 31 DE DICIEMBRE DE 2021 
NIVEL CENTRAL</t>
  </si>
  <si>
    <t>CONSOLIDADO DE EJECUCIÓN ESTRATEGICA Y PRESUPUESTAL
 A 31 DE DICIEMBRE DE 2021 
SECRETARÍAS</t>
  </si>
  <si>
    <t>CONSOLIDADO DE EJECUCIÓN ESTRATEGICA Y PRESUPUESTAL
 A 31 DE DICIEMBRE DE 2021 
DEPARTAMENTOS ADMINISTRATIVOS</t>
  </si>
  <si>
    <r>
      <rPr>
        <b/>
        <sz val="11"/>
        <color theme="1"/>
        <rFont val="Arial"/>
        <family val="2"/>
      </rPr>
      <t>CONSOLIDADO DE EJECUCIÓN ESTRATEGICA Y PRESUPUESTAL
 A 31 DE DICIEMBRE DE 2021 
DESPACHO DEL ALCALDE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</si>
  <si>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CONSOLIDADO DE EJECUCIÓN ESTRATEGICA Y PRESUPUESTAL
 A 31 DE DICIEMBRE DE 2021 
SECRETARÍA  DE GOBIERNO Y CONVIVENCIA 
</t>
  </si>
  <si>
    <t xml:space="preserve">CONSOLIDADO DE EJECUCIÓN ESTRATEGICA Y PRESUPUESTAL
 A 31 DE DICIEMBRE DE 2021 
SECRETARÍA DE DESARROLLO SOCIAL
</t>
  </si>
  <si>
    <t xml:space="preserve">CONSOLIDADO DE EJECUCIÓN ESTRATEGICA Y PRESUPUESTAL
 A 31 DE DICIEMBRE DE 2021 
SECRETARIA DE SALUD
</t>
  </si>
  <si>
    <t xml:space="preserve">CONSOLIDADO DE EJECUCIÓN ESTRATEGICA Y PRESUPUESTAL
 A 31 DE DICIEMBRE DE 2021 
SECRETARÍA DE DESARROLLO ECONÓMICO
</t>
  </si>
  <si>
    <t xml:space="preserve">CONSOLIDADO DE EJECUCIÓN PRESUPUESTAL
 A 31 DE DICIEMBRE DE 2021 
SECRETARÍA DE EDUCACIÓN
</t>
  </si>
  <si>
    <t xml:space="preserve">CONSOLIDADO DE EJECUCIÓN ESTRATEGICA Y PRESUPUESTAL
 A 31 DE DICIEMBRE DE 2021 
SECRETARIA DE INFRAESTRUCTURA
</t>
  </si>
  <si>
    <t xml:space="preserve">CONSOLIDADO DE EJECUCIÓN ESTRATEGICA Y PRESUPUESTAL
 A 31 DE DICIEMBRE DE 2021 
SECRETARÍA DE TRANSITO
</t>
  </si>
  <si>
    <t xml:space="preserve">CONSOLIDADO DE EJECUCIÓN ESTRATEGICA Y PRESUPUESTAL
 A 31 DE DICIEMBRE DE 2021 
SECRETARÍA TICS
</t>
  </si>
  <si>
    <t>CONSOLIDADO DE EJECUCIÓN ESTRATEGICA Y PRESUPUESTAL
 A 31 DE DICIEMBRE DE 2021 
SECRETARÍA DE HACIENDA</t>
  </si>
  <si>
    <t xml:space="preserve">CONSOLIDADO DE EJECUCIÓN PRESUPUESTAL
 A 31 DE DICIEMBRE DE 2021 
FORTALECIMIENTO INSTITUCIONAL
</t>
  </si>
  <si>
    <t xml:space="preserve">CONSOLIDADO DE EJECUCIÓN PRESUPUESTAL
 A 31 DE DICIEMBRE DE 2021 
DEPARTAMENTO ADMINISTRATIVO JURIDICO
</t>
  </si>
  <si>
    <t xml:space="preserve">CONSOLIDADO DE EJECUCIÓN ESTRATEGICA Y PRESUPUESTAL
 A 31 DE DICIEMBRE DE 2021 
DEPARTAMENTO ADMINSITRATIVO DE BIENES Y SUMINISTROS
</t>
  </si>
  <si>
    <t xml:space="preserve">CONSOLIDADO DE EJECUCIÓN ESTRATEGICA Y PRESUPUESTAL
 A 31 DE DICIEMBRE DE 2021 
DEPARTAMENTO ADMISNITRATIVO DE PLANEACIÓN
</t>
  </si>
  <si>
    <t xml:space="preserve">CONSOLIDADO DE EJECUCIÓN ESTRATEGICA Y PRESUPUESTAL
 A 31 DE DICIEMBRE DE 2021 
DEPARTAMENTO ADMISNITRATIVO  DE CONTROL INTERNO
</t>
  </si>
  <si>
    <t xml:space="preserve">CONSOLIDADO DE EJECUCIÓN ESTRATEGICA Y PRESUPUESTAL
 A 31 DE DICIEMBRE DE 2021 
DEPARTAMENTO ADMISNITRATIVO DE CONTROL INTERNO DISCIPLINARIO
</t>
  </si>
  <si>
    <t xml:space="preserve">CONSOLIDADO DE EJECUCIÓN ESTRATEGICA Y PRESUPUESTAL
 A 31 DE DICIEMBRE DE 2021 
FOMVIVIENDA
</t>
  </si>
  <si>
    <t xml:space="preserve">CONSOLIDADO DE EJECUCIÓN PRESUPUESTAL
 A 31 DE DICIEMBRE DE 2021 
EDUA
</t>
  </si>
  <si>
    <t xml:space="preserve">CONSOLIDADO DE EJECUCIÓN ESTRATEGICA Y PRESUPUESTAL
 A 31 DE DICIEMBRE DE 2021 
CORPOCULTURA
</t>
  </si>
  <si>
    <t xml:space="preserve">CONSOLIDADO DE EJECUCIÓN ESTRATEGICA Y PRESUPUESTAL
 A 31 DE DICIEMBRE DE 2021 
IMDERA
</t>
  </si>
  <si>
    <t xml:space="preserve">CONSOLIDADO DE EJECUCIÓN ESTRATEGICA Y PRESUPUESTAL
 A 31 DE DICIEMBRE DE 2021 
EMPRESAS PÚBLICAS DE ARMENIA EPA 
</t>
  </si>
  <si>
    <t xml:space="preserve">CONSOLIDADO DE EJECUCIÓN ESTRATEGICA Y PRESUPUESTAL
 A 31 DE DICIEMBRE DE 2021 
AMABLE
</t>
  </si>
  <si>
    <t xml:space="preserve">CONSOLIDADO DE EJECUCIÓN ESTRATEGICA Y PRESUPUESTAL
 A 31 DE DICIEMBRE DE 2021 
REDSALUD
</t>
  </si>
  <si>
    <t>0%-75%</t>
  </si>
  <si>
    <t>91%-100%</t>
  </si>
  <si>
    <t>76%-90%</t>
  </si>
  <si>
    <t>2.9. HACIENDA</t>
  </si>
  <si>
    <t>75%-90%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</si>
</sst>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\ * #,##0.00_);_(&quot;$&quot;\ * \(#,##0.00\);_(&quot;$&quot;\ * &quot;-&quot;??_);_(@_)"/>
    <numFmt numFmtId="164" formatCode="&quot;$&quot;\ #,##0;\-&quot;$&quot;\ #,##0"/>
    <numFmt numFmtId="165" formatCode="_-* #,##0_-;\-* #,##0_-;_-* &quot;-&quot;_-;_-@_-"/>
    <numFmt numFmtId="166" formatCode="_-* #,##0.00_-;\-* #,##0.00_-;_-* &quot;-&quot;??_-;_-@_-"/>
    <numFmt numFmtId="167" formatCode="_(&quot;$&quot;* #,##0.00_);_(&quot;$&quot;* \(#,##0.00\);_(&quot;$&quot;* &quot;-&quot;??_);_(@_)"/>
    <numFmt numFmtId="168" formatCode="[$$-240A]\ #,##0"/>
    <numFmt numFmtId="169" formatCode="&quot;$&quot;\ #,##0"/>
    <numFmt numFmtId="170" formatCode="&quot;$&quot;\ #,##0.00"/>
    <numFmt numFmtId="171" formatCode="[$$-240A]\ #,##0.00"/>
    <numFmt numFmtId="172" formatCode="&quot;$&quot;#,##0.00"/>
    <numFmt numFmtId="173" formatCode="&quot;$&quot;#,##0;[Red]\-&quot;$&quot;#,##0"/>
    <numFmt numFmtId="174" formatCode="&quot;$&quot;#,##0"/>
    <numFmt numFmtId="175" formatCode="#,000_);[Red]\(#,000\)"/>
    <numFmt numFmtId="176" formatCode="&quot;$&quot;\ #,##0.0"/>
    <numFmt numFmtId="177" formatCode="_(&quot;$&quot;* #,##0_);_(&quot;$&quot;* \(#,##0\);_(&quot;$&quot;* &quot;-&quot;??_);_(@_)"/>
    <numFmt numFmtId="178" formatCode="_-[$$-240A]\ * #,##0.00_-;\-[$$-240A]\ * #,##0.00_-;_-[$$-240A]\ * &quot;-&quot;??_-;_-@_-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3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4" tint="0.59999389629810485"/>
        <bgColor rgb="FFFFFF99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E06B0A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38" applyNumberFormat="0" applyFill="0" applyAlignment="0" applyProtection="0"/>
    <xf numFmtId="0" fontId="9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0" fillId="27" borderId="37" applyNumberFormat="0" applyAlignment="0" applyProtection="0"/>
    <xf numFmtId="0" fontId="11" fillId="28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2" fillId="29" borderId="0" applyNumberFormat="0" applyBorder="0" applyAlignment="0" applyProtection="0"/>
    <xf numFmtId="0" fontId="1" fillId="0" borderId="0"/>
    <xf numFmtId="0" fontId="1" fillId="0" borderId="0"/>
    <xf numFmtId="9" fontId="1" fillId="0" borderId="0" applyFill="0" applyBorder="0" applyAlignment="0" applyProtection="0"/>
    <xf numFmtId="0" fontId="13" fillId="20" borderId="39" applyNumberFormat="0" applyAlignment="0" applyProtection="0"/>
    <xf numFmtId="0" fontId="14" fillId="0" borderId="0" applyNumberFormat="0" applyFill="0" applyBorder="0" applyAlignment="0" applyProtection="0"/>
    <xf numFmtId="0" fontId="15" fillId="0" borderId="40" applyNumberFormat="0" applyFill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2">
    <xf numFmtId="0" fontId="0" fillId="0" borderId="0" xfId="0"/>
    <xf numFmtId="0" fontId="0" fillId="0" borderId="0" xfId="0"/>
    <xf numFmtId="0" fontId="0" fillId="0" borderId="0" xfId="0" applyFont="1"/>
    <xf numFmtId="3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justify" vertical="center" wrapText="1"/>
    </xf>
    <xf numFmtId="0" fontId="0" fillId="0" borderId="0" xfId="0" applyFont="1" applyBorder="1"/>
    <xf numFmtId="10" fontId="0" fillId="0" borderId="0" xfId="0" applyNumberFormat="1"/>
    <xf numFmtId="0" fontId="16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/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Fill="1"/>
    <xf numFmtId="3" fontId="15" fillId="0" borderId="0" xfId="0" applyNumberFormat="1" applyFont="1" applyBorder="1"/>
    <xf numFmtId="0" fontId="0" fillId="0" borderId="0" xfId="0" applyFont="1" applyAlignment="1">
      <alignment horizontal="center" vertical="center"/>
    </xf>
    <xf numFmtId="3" fontId="0" fillId="0" borderId="0" xfId="0" applyNumberFormat="1" applyBorder="1"/>
    <xf numFmtId="0" fontId="0" fillId="0" borderId="0" xfId="0" applyBorder="1"/>
    <xf numFmtId="10" fontId="1" fillId="0" borderId="12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wrapText="1"/>
    </xf>
    <xf numFmtId="170" fontId="18" fillId="0" borderId="0" xfId="0" applyNumberFormat="1" applyFont="1" applyFill="1" applyBorder="1"/>
    <xf numFmtId="10" fontId="18" fillId="0" borderId="0" xfId="0" applyNumberFormat="1" applyFont="1" applyFill="1" applyBorder="1"/>
    <xf numFmtId="171" fontId="19" fillId="0" borderId="2" xfId="0" applyNumberFormat="1" applyFont="1" applyBorder="1" applyAlignment="1">
      <alignment horizontal="center" vertical="center"/>
    </xf>
    <xf numFmtId="10" fontId="19" fillId="0" borderId="17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1" fontId="18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 vertical="center"/>
    </xf>
    <xf numFmtId="10" fontId="1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/>
    <xf numFmtId="10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1" fontId="18" fillId="0" borderId="0" xfId="0" applyNumberFormat="1" applyFont="1" applyFill="1" applyBorder="1" applyAlignment="1">
      <alignment horizontal="center" vertical="center"/>
    </xf>
    <xf numFmtId="171" fontId="19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0" fontId="0" fillId="0" borderId="17" xfId="0" applyNumberFormat="1" applyFont="1" applyBorder="1" applyAlignment="1">
      <alignment horizontal="center" vertical="center"/>
    </xf>
    <xf numFmtId="171" fontId="15" fillId="0" borderId="3" xfId="0" applyNumberFormat="1" applyFont="1" applyBorder="1" applyAlignment="1">
      <alignment horizontal="center" vertical="center"/>
    </xf>
    <xf numFmtId="171" fontId="15" fillId="0" borderId="1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15" fillId="30" borderId="8" xfId="0" applyNumberFormat="1" applyFont="1" applyFill="1" applyBorder="1" applyAlignment="1">
      <alignment horizontal="center" vertical="center"/>
    </xf>
    <xf numFmtId="3" fontId="15" fillId="31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0" fontId="1" fillId="0" borderId="0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/>
    <xf numFmtId="3" fontId="15" fillId="0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8" fillId="0" borderId="0" xfId="0" applyNumberFormat="1" applyFont="1" applyFill="1" applyBorder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171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center" vertical="center"/>
    </xf>
    <xf numFmtId="0" fontId="0" fillId="32" borderId="0" xfId="0" applyFont="1" applyFill="1"/>
    <xf numFmtId="2" fontId="0" fillId="0" borderId="0" xfId="0" applyNumberFormat="1" applyFont="1" applyAlignment="1">
      <alignment wrapText="1"/>
    </xf>
    <xf numFmtId="3" fontId="0" fillId="0" borderId="0" xfId="0" applyNumberFormat="1" applyAlignment="1">
      <alignment horizontal="right"/>
    </xf>
    <xf numFmtId="0" fontId="22" fillId="0" borderId="6" xfId="0" applyFont="1" applyFill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16" fillId="0" borderId="26" xfId="0" applyFont="1" applyBorder="1" applyAlignment="1">
      <alignment horizontal="center" vertical="center"/>
    </xf>
    <xf numFmtId="10" fontId="20" fillId="0" borderId="1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170" fontId="18" fillId="0" borderId="0" xfId="0" applyNumberFormat="1" applyFont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/>
    </xf>
    <xf numFmtId="10" fontId="1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15" fillId="37" borderId="19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0" fontId="15" fillId="0" borderId="0" xfId="0" applyNumberFormat="1" applyFont="1" applyFill="1" applyBorder="1" applyAlignment="1">
      <alignment horizontal="center" wrapText="1"/>
    </xf>
    <xf numFmtId="171" fontId="15" fillId="0" borderId="0" xfId="0" applyNumberFormat="1" applyFont="1" applyFill="1" applyBorder="1" applyAlignment="1">
      <alignment horizontal="center" vertical="center"/>
    </xf>
    <xf numFmtId="10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1" fontId="22" fillId="0" borderId="0" xfId="0" applyNumberFormat="1" applyFont="1" applyFill="1" applyBorder="1" applyAlignment="1">
      <alignment horizontal="center" wrapText="1"/>
    </xf>
    <xf numFmtId="10" fontId="22" fillId="0" borderId="0" xfId="0" applyNumberFormat="1" applyFont="1" applyFill="1" applyBorder="1" applyAlignment="1">
      <alignment horizontal="center" wrapText="1"/>
    </xf>
    <xf numFmtId="171" fontId="4" fillId="0" borderId="0" xfId="0" applyNumberFormat="1" applyFont="1" applyFill="1" applyBorder="1" applyAlignment="1">
      <alignment horizontal="center" vertical="center"/>
    </xf>
    <xf numFmtId="10" fontId="22" fillId="0" borderId="0" xfId="0" applyNumberFormat="1" applyFont="1" applyFill="1" applyBorder="1" applyAlignment="1">
      <alignment horizontal="center" vertical="center"/>
    </xf>
    <xf numFmtId="10" fontId="19" fillId="0" borderId="28" xfId="0" applyNumberFormat="1" applyFont="1" applyBorder="1" applyAlignment="1">
      <alignment horizontal="center" vertical="center"/>
    </xf>
    <xf numFmtId="10" fontId="18" fillId="0" borderId="15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70" fontId="18" fillId="0" borderId="0" xfId="0" applyNumberFormat="1" applyFont="1" applyFill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Border="1" applyAlignment="1">
      <alignment horizontal="center" vertical="center" wrapText="1"/>
    </xf>
    <xf numFmtId="10" fontId="22" fillId="0" borderId="0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Border="1" applyAlignment="1">
      <alignment horizontal="center" vertical="center"/>
    </xf>
    <xf numFmtId="171" fontId="22" fillId="0" borderId="0" xfId="0" applyNumberFormat="1" applyFont="1" applyFill="1" applyBorder="1" applyAlignment="1">
      <alignment horizontal="center"/>
    </xf>
    <xf numFmtId="167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0" fontId="18" fillId="0" borderId="0" xfId="0" applyNumberFormat="1" applyFont="1" applyFill="1" applyBorder="1" applyAlignment="1">
      <alignment horizontal="center" wrapText="1"/>
    </xf>
    <xf numFmtId="10" fontId="2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vertical="center"/>
    </xf>
    <xf numFmtId="171" fontId="19" fillId="0" borderId="48" xfId="0" applyNumberFormat="1" applyFon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ont="1"/>
    <xf numFmtId="1" fontId="1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/>
    <xf numFmtId="1" fontId="22" fillId="0" borderId="0" xfId="0" applyNumberFormat="1" applyFont="1" applyBorder="1" applyAlignment="1">
      <alignment horizontal="center" vertical="center" wrapText="1"/>
    </xf>
    <xf numFmtId="171" fontId="22" fillId="0" borderId="0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0" borderId="33" xfId="0" applyFont="1" applyFill="1" applyBorder="1" applyAlignment="1">
      <alignment horizontal="center" vertical="center" wrapText="1"/>
    </xf>
    <xf numFmtId="0" fontId="4" fillId="30" borderId="3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0" borderId="33" xfId="0" applyFont="1" applyFill="1" applyBorder="1" applyAlignment="1">
      <alignment horizontal="center" vertical="center" wrapText="1"/>
    </xf>
    <xf numFmtId="0" fontId="2" fillId="30" borderId="34" xfId="0" applyFont="1" applyFill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right"/>
    </xf>
    <xf numFmtId="3" fontId="22" fillId="31" borderId="14" xfId="0" applyNumberFormat="1" applyFont="1" applyFill="1" applyBorder="1" applyAlignment="1">
      <alignment horizontal="center" vertical="center"/>
    </xf>
    <xf numFmtId="3" fontId="20" fillId="0" borderId="6" xfId="0" applyNumberFormat="1" applyFont="1" applyBorder="1" applyAlignment="1">
      <alignment horizontal="right"/>
    </xf>
    <xf numFmtId="3" fontId="22" fillId="30" borderId="8" xfId="0" applyNumberFormat="1" applyFont="1" applyFill="1" applyBorder="1" applyAlignment="1">
      <alignment horizontal="center" vertical="center"/>
    </xf>
    <xf numFmtId="3" fontId="20" fillId="0" borderId="24" xfId="0" applyNumberFormat="1" applyFont="1" applyBorder="1" applyAlignment="1">
      <alignment horizontal="right"/>
    </xf>
    <xf numFmtId="3" fontId="22" fillId="37" borderId="19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19" fillId="0" borderId="23" xfId="0" applyNumberFormat="1" applyFont="1" applyBorder="1" applyAlignment="1">
      <alignment horizontal="right"/>
    </xf>
    <xf numFmtId="3" fontId="18" fillId="31" borderId="14" xfId="0" applyNumberFormat="1" applyFont="1" applyFill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/>
    </xf>
    <xf numFmtId="3" fontId="18" fillId="30" borderId="8" xfId="0" applyNumberFormat="1" applyFont="1" applyFill="1" applyBorder="1" applyAlignment="1">
      <alignment horizontal="center" vertical="center"/>
    </xf>
    <xf numFmtId="3" fontId="19" fillId="0" borderId="24" xfId="0" applyNumberFormat="1" applyFont="1" applyBorder="1" applyAlignment="1">
      <alignment horizontal="right"/>
    </xf>
    <xf numFmtId="3" fontId="18" fillId="37" borderId="19" xfId="0" applyNumberFormat="1" applyFont="1" applyFill="1" applyBorder="1" applyAlignment="1">
      <alignment horizontal="center" vertical="center"/>
    </xf>
    <xf numFmtId="3" fontId="18" fillId="0" borderId="3" xfId="0" applyNumberFormat="1" applyFont="1" applyBorder="1"/>
    <xf numFmtId="3" fontId="18" fillId="0" borderId="15" xfId="0" applyNumberFormat="1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171" fontId="18" fillId="0" borderId="3" xfId="0" applyNumberFormat="1" applyFont="1" applyBorder="1" applyAlignment="1">
      <alignment horizontal="center" vertical="center"/>
    </xf>
    <xf numFmtId="171" fontId="18" fillId="0" borderId="13" xfId="0" applyNumberFormat="1" applyFont="1" applyBorder="1" applyAlignment="1">
      <alignment horizontal="center" vertical="center"/>
    </xf>
    <xf numFmtId="171" fontId="19" fillId="0" borderId="16" xfId="0" applyNumberFormat="1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9" fillId="32" borderId="5" xfId="0" applyFont="1" applyFill="1" applyBorder="1" applyAlignment="1">
      <alignment horizontal="left" vertical="center" wrapText="1"/>
    </xf>
    <xf numFmtId="0" fontId="19" fillId="32" borderId="6" xfId="0" applyFont="1" applyFill="1" applyBorder="1" applyAlignment="1">
      <alignment horizontal="left" vertical="center" wrapText="1"/>
    </xf>
    <xf numFmtId="0" fontId="19" fillId="32" borderId="7" xfId="0" applyFont="1" applyFill="1" applyBorder="1" applyAlignment="1">
      <alignment horizontal="left" vertical="center" wrapText="1"/>
    </xf>
    <xf numFmtId="0" fontId="19" fillId="32" borderId="6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10" fontId="18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0" borderId="2" xfId="0" applyFont="1" applyFill="1" applyBorder="1" applyAlignment="1">
      <alignment wrapText="1"/>
    </xf>
    <xf numFmtId="0" fontId="18" fillId="0" borderId="43" xfId="0" applyFont="1" applyFill="1" applyBorder="1" applyAlignment="1">
      <alignment horizontal="center" wrapText="1"/>
    </xf>
    <xf numFmtId="10" fontId="18" fillId="0" borderId="9" xfId="0" applyNumberFormat="1" applyFont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/>
    </xf>
    <xf numFmtId="9" fontId="2" fillId="0" borderId="17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3" fontId="18" fillId="31" borderId="8" xfId="0" applyNumberFormat="1" applyFont="1" applyFill="1" applyBorder="1" applyAlignment="1">
      <alignment horizontal="center" vertical="center"/>
    </xf>
    <xf numFmtId="10" fontId="1" fillId="0" borderId="41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/>
    <xf numFmtId="3" fontId="18" fillId="0" borderId="0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3" fontId="19" fillId="0" borderId="18" xfId="0" applyNumberFormat="1" applyFont="1" applyBorder="1"/>
    <xf numFmtId="3" fontId="18" fillId="0" borderId="18" xfId="0" applyNumberFormat="1" applyFont="1" applyFill="1" applyBorder="1" applyAlignment="1">
      <alignment horizontal="center" vertical="center"/>
    </xf>
    <xf numFmtId="170" fontId="19" fillId="0" borderId="2" xfId="0" applyNumberFormat="1" applyFont="1" applyBorder="1" applyAlignment="1">
      <alignment horizontal="center" vertical="center"/>
    </xf>
    <xf numFmtId="170" fontId="19" fillId="0" borderId="16" xfId="0" applyNumberFormat="1" applyFont="1" applyBorder="1" applyAlignment="1">
      <alignment horizontal="center" vertical="center"/>
    </xf>
    <xf numFmtId="9" fontId="19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/>
    <xf numFmtId="10" fontId="2" fillId="0" borderId="18" xfId="0" applyNumberFormat="1" applyFont="1" applyFill="1" applyBorder="1" applyAlignment="1">
      <alignment horizontal="center" vertical="center"/>
    </xf>
    <xf numFmtId="176" fontId="19" fillId="0" borderId="2" xfId="0" applyNumberFormat="1" applyFont="1" applyBorder="1" applyAlignment="1">
      <alignment horizontal="center" vertical="center"/>
    </xf>
    <xf numFmtId="176" fontId="19" fillId="0" borderId="16" xfId="0" applyNumberFormat="1" applyFont="1" applyBorder="1" applyAlignment="1">
      <alignment horizontal="center" vertical="center"/>
    </xf>
    <xf numFmtId="174" fontId="19" fillId="0" borderId="16" xfId="0" applyNumberFormat="1" applyFont="1" applyFill="1" applyBorder="1" applyAlignment="1">
      <alignment horizontal="center" vertical="center"/>
    </xf>
    <xf numFmtId="3" fontId="19" fillId="37" borderId="19" xfId="0" applyNumberFormat="1" applyFont="1" applyFill="1" applyBorder="1" applyAlignment="1">
      <alignment horizontal="center" vertical="center"/>
    </xf>
    <xf numFmtId="169" fontId="19" fillId="0" borderId="2" xfId="0" applyNumberFormat="1" applyFont="1" applyBorder="1" applyAlignment="1">
      <alignment horizontal="center" vertical="center"/>
    </xf>
    <xf numFmtId="169" fontId="19" fillId="0" borderId="16" xfId="0" applyNumberFormat="1" applyFont="1" applyBorder="1" applyAlignment="1">
      <alignment horizontal="center" vertical="center"/>
    </xf>
    <xf numFmtId="0" fontId="19" fillId="39" borderId="6" xfId="0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wrapText="1"/>
    </xf>
    <xf numFmtId="10" fontId="18" fillId="0" borderId="0" xfId="0" applyNumberFormat="1" applyFont="1" applyBorder="1" applyAlignment="1">
      <alignment horizontal="center"/>
    </xf>
    <xf numFmtId="171" fontId="18" fillId="0" borderId="0" xfId="0" applyNumberFormat="1" applyFont="1" applyBorder="1" applyAlignment="1">
      <alignment wrapText="1"/>
    </xf>
    <xf numFmtId="171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8" fillId="0" borderId="13" xfId="0" applyFont="1" applyFill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170" fontId="22" fillId="0" borderId="10" xfId="0" applyNumberFormat="1" applyFont="1" applyFill="1" applyBorder="1" applyAlignment="1">
      <alignment horizontal="right" vertical="center"/>
    </xf>
    <xf numFmtId="10" fontId="22" fillId="0" borderId="11" xfId="0" applyNumberFormat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170" fontId="22" fillId="0" borderId="8" xfId="0" applyNumberFormat="1" applyFont="1" applyFill="1" applyBorder="1" applyAlignment="1">
      <alignment horizontal="right" vertical="center"/>
    </xf>
    <xf numFmtId="10" fontId="22" fillId="0" borderId="4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170" fontId="22" fillId="0" borderId="19" xfId="0" applyNumberFormat="1" applyFont="1" applyFill="1" applyBorder="1" applyAlignment="1">
      <alignment horizontal="right" vertical="center"/>
    </xf>
    <xf numFmtId="10" fontId="19" fillId="4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10" fontId="18" fillId="37" borderId="0" xfId="0" applyNumberFormat="1" applyFont="1" applyFill="1" applyBorder="1" applyAlignment="1">
      <alignment horizontal="center" vertical="center"/>
    </xf>
    <xf numFmtId="10" fontId="19" fillId="37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center" vertical="center"/>
    </xf>
    <xf numFmtId="10" fontId="19" fillId="0" borderId="0" xfId="0" applyNumberFormat="1" applyFont="1"/>
    <xf numFmtId="171" fontId="2" fillId="0" borderId="0" xfId="0" applyNumberFormat="1" applyFont="1" applyFill="1" applyBorder="1" applyAlignment="1">
      <alignment horizontal="center" vertical="center"/>
    </xf>
    <xf numFmtId="10" fontId="1" fillId="37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/>
    <xf numFmtId="0" fontId="19" fillId="0" borderId="0" xfId="0" applyFont="1" applyBorder="1" applyAlignment="1">
      <alignment wrapText="1"/>
    </xf>
    <xf numFmtId="3" fontId="18" fillId="37" borderId="9" xfId="0" applyNumberFormat="1" applyFont="1" applyFill="1" applyBorder="1" applyAlignment="1">
      <alignment horizontal="center" vertical="center"/>
    </xf>
    <xf numFmtId="3" fontId="18" fillId="0" borderId="2" xfId="0" applyNumberFormat="1" applyFont="1" applyBorder="1"/>
    <xf numFmtId="3" fontId="18" fillId="0" borderId="17" xfId="0" applyNumberFormat="1" applyFont="1" applyFill="1" applyBorder="1" applyAlignment="1">
      <alignment horizontal="center" vertical="center"/>
    </xf>
    <xf numFmtId="0" fontId="19" fillId="33" borderId="0" xfId="0" applyFont="1" applyFill="1"/>
    <xf numFmtId="9" fontId="19" fillId="37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10" fontId="19" fillId="37" borderId="0" xfId="0" applyNumberFormat="1" applyFont="1" applyFill="1" applyAlignment="1">
      <alignment horizontal="center"/>
    </xf>
    <xf numFmtId="10" fontId="18" fillId="37" borderId="0" xfId="0" applyNumberFormat="1" applyFont="1" applyFill="1" applyAlignment="1">
      <alignment horizontal="center"/>
    </xf>
    <xf numFmtId="10" fontId="0" fillId="37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 vertical="center"/>
    </xf>
    <xf numFmtId="3" fontId="19" fillId="40" borderId="8" xfId="0" applyNumberFormat="1" applyFont="1" applyFill="1" applyBorder="1" applyAlignment="1">
      <alignment horizontal="center" vertical="center"/>
    </xf>
    <xf numFmtId="3" fontId="19" fillId="42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19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/>
    </xf>
    <xf numFmtId="10" fontId="19" fillId="0" borderId="0" xfId="0" applyNumberFormat="1" applyFont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10" fontId="0" fillId="0" borderId="0" xfId="0" applyNumberFormat="1" applyFont="1"/>
    <xf numFmtId="169" fontId="18" fillId="0" borderId="13" xfId="0" applyNumberFormat="1" applyFont="1" applyFill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22" fillId="0" borderId="4" xfId="0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wrapText="1"/>
    </xf>
    <xf numFmtId="10" fontId="22" fillId="0" borderId="55" xfId="0" applyNumberFormat="1" applyFont="1" applyBorder="1" applyAlignment="1">
      <alignment horizontal="center" vertical="center" wrapText="1"/>
    </xf>
    <xf numFmtId="0" fontId="15" fillId="0" borderId="7" xfId="0" applyFont="1" applyBorder="1"/>
    <xf numFmtId="0" fontId="15" fillId="0" borderId="9" xfId="0" applyFont="1" applyBorder="1" applyAlignment="1">
      <alignment horizontal="center"/>
    </xf>
    <xf numFmtId="170" fontId="15" fillId="0" borderId="9" xfId="0" applyNumberFormat="1" applyFont="1" applyBorder="1"/>
    <xf numFmtId="0" fontId="22" fillId="0" borderId="42" xfId="0" applyFont="1" applyFill="1" applyBorder="1" applyAlignment="1">
      <alignment wrapText="1"/>
    </xf>
    <xf numFmtId="0" fontId="22" fillId="0" borderId="19" xfId="0" applyFont="1" applyFill="1" applyBorder="1" applyAlignment="1">
      <alignment horizontal="center" vertical="center" wrapText="1"/>
    </xf>
    <xf numFmtId="10" fontId="22" fillId="0" borderId="56" xfId="0" applyNumberFormat="1" applyFont="1" applyBorder="1" applyAlignment="1">
      <alignment horizontal="center" vertical="center" wrapText="1"/>
    </xf>
    <xf numFmtId="10" fontId="15" fillId="0" borderId="27" xfId="0" applyNumberFormat="1" applyFont="1" applyBorder="1" applyAlignment="1">
      <alignment horizontal="center"/>
    </xf>
    <xf numFmtId="10" fontId="15" fillId="0" borderId="9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0" fontId="27" fillId="0" borderId="0" xfId="0" applyFont="1"/>
    <xf numFmtId="0" fontId="28" fillId="0" borderId="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3" fillId="30" borderId="34" xfId="0" applyFont="1" applyFill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right"/>
    </xf>
    <xf numFmtId="3" fontId="28" fillId="31" borderId="14" xfId="0" applyNumberFormat="1" applyFont="1" applyFill="1" applyBorder="1" applyAlignment="1">
      <alignment horizontal="center" vertical="center"/>
    </xf>
    <xf numFmtId="10" fontId="30" fillId="0" borderId="12" xfId="0" applyNumberFormat="1" applyFont="1" applyFill="1" applyBorder="1" applyAlignment="1">
      <alignment horizontal="center" vertical="center"/>
    </xf>
    <xf numFmtId="3" fontId="29" fillId="0" borderId="6" xfId="0" applyNumberFormat="1" applyFont="1" applyBorder="1" applyAlignment="1">
      <alignment horizontal="right"/>
    </xf>
    <xf numFmtId="3" fontId="28" fillId="30" borderId="8" xfId="0" applyNumberFormat="1" applyFont="1" applyFill="1" applyBorder="1" applyAlignment="1">
      <alignment horizontal="center" vertical="center"/>
    </xf>
    <xf numFmtId="3" fontId="28" fillId="37" borderId="19" xfId="0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10" fontId="30" fillId="0" borderId="0" xfId="0" applyNumberFormat="1" applyFont="1" applyFill="1" applyBorder="1" applyAlignment="1">
      <alignment horizontal="center" vertical="center"/>
    </xf>
    <xf numFmtId="3" fontId="28" fillId="0" borderId="3" xfId="0" applyNumberFormat="1" applyFont="1" applyBorder="1" applyAlignment="1">
      <alignment horizontal="right" vertical="center"/>
    </xf>
    <xf numFmtId="3" fontId="28" fillId="0" borderId="13" xfId="0" applyNumberFormat="1" applyFont="1" applyBorder="1" applyAlignment="1">
      <alignment horizontal="right" vertical="center"/>
    </xf>
    <xf numFmtId="0" fontId="28" fillId="0" borderId="15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17" fillId="0" borderId="5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10" fontId="32" fillId="0" borderId="10" xfId="0" applyNumberFormat="1" applyFont="1" applyBorder="1" applyAlignment="1">
      <alignment horizontal="center" vertical="center" wrapText="1"/>
    </xf>
    <xf numFmtId="10" fontId="17" fillId="0" borderId="11" xfId="0" applyNumberFormat="1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10" fontId="32" fillId="0" borderId="8" xfId="0" applyNumberFormat="1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10" fontId="32" fillId="0" borderId="8" xfId="0" applyNumberFormat="1" applyFont="1" applyFill="1" applyBorder="1" applyAlignment="1">
      <alignment horizontal="center" vertical="center" wrapText="1"/>
    </xf>
    <xf numFmtId="10" fontId="17" fillId="0" borderId="4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wrapText="1"/>
    </xf>
    <xf numFmtId="1" fontId="17" fillId="0" borderId="8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wrapText="1"/>
    </xf>
    <xf numFmtId="1" fontId="17" fillId="0" borderId="19" xfId="0" applyNumberFormat="1" applyFont="1" applyFill="1" applyBorder="1" applyAlignment="1">
      <alignment horizontal="center" vertical="center" wrapText="1"/>
    </xf>
    <xf numFmtId="10" fontId="32" fillId="0" borderId="19" xfId="0" applyNumberFormat="1" applyFont="1" applyBorder="1" applyAlignment="1">
      <alignment horizontal="center" vertical="center" wrapText="1"/>
    </xf>
    <xf numFmtId="10" fontId="17" fillId="0" borderId="41" xfId="0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wrapText="1"/>
    </xf>
    <xf numFmtId="0" fontId="17" fillId="0" borderId="21" xfId="0" applyFont="1" applyFill="1" applyBorder="1" applyAlignment="1">
      <alignment horizontal="center" wrapText="1"/>
    </xf>
    <xf numFmtId="10" fontId="17" fillId="0" borderId="21" xfId="0" applyNumberFormat="1" applyFont="1" applyFill="1" applyBorder="1" applyAlignment="1">
      <alignment horizontal="center" wrapText="1"/>
    </xf>
    <xf numFmtId="171" fontId="17" fillId="0" borderId="13" xfId="0" applyNumberFormat="1" applyFont="1" applyFill="1" applyBorder="1" applyAlignment="1">
      <alignment horizontal="center" vertical="center"/>
    </xf>
    <xf numFmtId="10" fontId="32" fillId="0" borderId="15" xfId="0" applyNumberFormat="1" applyFont="1" applyFill="1" applyBorder="1" applyAlignment="1">
      <alignment horizontal="center" vertical="center"/>
    </xf>
    <xf numFmtId="10" fontId="31" fillId="0" borderId="0" xfId="0" applyNumberFormat="1" applyFont="1"/>
    <xf numFmtId="0" fontId="21" fillId="0" borderId="0" xfId="0" applyFont="1" applyFill="1" applyBorder="1" applyAlignment="1">
      <alignment horizontal="center" wrapText="1"/>
    </xf>
    <xf numFmtId="10" fontId="21" fillId="0" borderId="0" xfId="0" applyNumberFormat="1" applyFont="1" applyFill="1" applyBorder="1" applyAlignment="1">
      <alignment horizontal="center" wrapText="1"/>
    </xf>
    <xf numFmtId="171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Alignment="1">
      <alignment horizontal="right"/>
    </xf>
    <xf numFmtId="171" fontId="31" fillId="0" borderId="0" xfId="0" applyNumberFormat="1" applyFont="1"/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17" fillId="0" borderId="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right"/>
    </xf>
    <xf numFmtId="3" fontId="17" fillId="31" borderId="14" xfId="0" applyNumberFormat="1" applyFont="1" applyFill="1" applyBorder="1" applyAlignment="1">
      <alignment horizontal="center" vertical="center"/>
    </xf>
    <xf numFmtId="10" fontId="35" fillId="0" borderId="12" xfId="0" applyNumberFormat="1" applyFont="1" applyFill="1" applyBorder="1" applyAlignment="1">
      <alignment horizontal="center" vertical="center"/>
    </xf>
    <xf numFmtId="3" fontId="34" fillId="0" borderId="6" xfId="0" applyNumberFormat="1" applyFont="1" applyBorder="1" applyAlignment="1">
      <alignment horizontal="right"/>
    </xf>
    <xf numFmtId="3" fontId="17" fillId="30" borderId="8" xfId="0" applyNumberFormat="1" applyFont="1" applyFill="1" applyBorder="1" applyAlignment="1">
      <alignment horizontal="center" vertical="center"/>
    </xf>
    <xf numFmtId="3" fontId="34" fillId="0" borderId="24" xfId="0" applyNumberFormat="1" applyFont="1" applyBorder="1" applyAlignment="1">
      <alignment horizontal="right"/>
    </xf>
    <xf numFmtId="3" fontId="17" fillId="37" borderId="19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right"/>
    </xf>
    <xf numFmtId="3" fontId="17" fillId="0" borderId="15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horizontal="right"/>
    </xf>
    <xf numFmtId="0" fontId="34" fillId="0" borderId="0" xfId="0" applyFont="1"/>
    <xf numFmtId="3" fontId="34" fillId="0" borderId="0" xfId="0" applyNumberFormat="1" applyFont="1" applyAlignment="1">
      <alignment horizontal="right"/>
    </xf>
    <xf numFmtId="9" fontId="34" fillId="0" borderId="24" xfId="0" applyNumberFormat="1" applyFont="1" applyBorder="1" applyAlignment="1">
      <alignment horizontal="right"/>
    </xf>
    <xf numFmtId="0" fontId="36" fillId="0" borderId="0" xfId="0" applyFont="1"/>
    <xf numFmtId="3" fontId="17" fillId="0" borderId="3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171" fontId="34" fillId="0" borderId="2" xfId="0" applyNumberFormat="1" applyFont="1" applyBorder="1" applyAlignment="1">
      <alignment horizontal="right" vertical="center"/>
    </xf>
    <xf numFmtId="171" fontId="34" fillId="0" borderId="16" xfId="31" applyNumberFormat="1" applyFont="1" applyBorder="1" applyAlignment="1">
      <alignment horizontal="right" vertical="center"/>
    </xf>
    <xf numFmtId="10" fontId="34" fillId="0" borderId="17" xfId="0" applyNumberFormat="1" applyFont="1" applyBorder="1" applyAlignment="1">
      <alignment horizontal="center" vertical="center"/>
    </xf>
    <xf numFmtId="169" fontId="17" fillId="0" borderId="10" xfId="0" applyNumberFormat="1" applyFont="1" applyFill="1" applyBorder="1" applyAlignment="1">
      <alignment horizontal="right" vertical="center"/>
    </xf>
    <xf numFmtId="169" fontId="17" fillId="0" borderId="8" xfId="0" applyNumberFormat="1" applyFont="1" applyFill="1" applyBorder="1" applyAlignment="1">
      <alignment horizontal="right" vertical="center"/>
    </xf>
    <xf numFmtId="169" fontId="17" fillId="0" borderId="19" xfId="0" applyNumberFormat="1" applyFont="1" applyFill="1" applyBorder="1" applyAlignment="1">
      <alignment horizontal="right" vertical="center"/>
    </xf>
    <xf numFmtId="168" fontId="17" fillId="0" borderId="13" xfId="0" applyNumberFormat="1" applyFont="1" applyFill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horizontal="right" vertical="center"/>
    </xf>
    <xf numFmtId="169" fontId="17" fillId="0" borderId="13" xfId="0" applyNumberFormat="1" applyFont="1" applyFill="1" applyBorder="1" applyAlignment="1">
      <alignment horizontal="center" vertical="center"/>
    </xf>
    <xf numFmtId="169" fontId="17" fillId="0" borderId="10" xfId="0" applyNumberFormat="1" applyFont="1" applyFill="1" applyBorder="1" applyAlignment="1">
      <alignment vertical="center"/>
    </xf>
    <xf numFmtId="169" fontId="17" fillId="0" borderId="8" xfId="0" applyNumberFormat="1" applyFont="1" applyFill="1" applyBorder="1" applyAlignment="1">
      <alignment vertical="center"/>
    </xf>
    <xf numFmtId="169" fontId="17" fillId="0" borderId="13" xfId="0" applyNumberFormat="1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10" fontId="34" fillId="0" borderId="11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vertical="center" wrapText="1"/>
    </xf>
    <xf numFmtId="0" fontId="34" fillId="0" borderId="8" xfId="0" applyFont="1" applyFill="1" applyBorder="1" applyAlignment="1">
      <alignment horizontal="center" vertical="center" wrapText="1"/>
    </xf>
    <xf numFmtId="10" fontId="35" fillId="0" borderId="8" xfId="0" applyNumberFormat="1" applyFont="1" applyBorder="1" applyAlignment="1">
      <alignment horizontal="center" vertical="center" wrapText="1"/>
    </xf>
    <xf numFmtId="169" fontId="35" fillId="0" borderId="8" xfId="0" applyNumberFormat="1" applyFont="1" applyBorder="1" applyAlignment="1">
      <alignment horizontal="right" vertical="center" wrapText="1"/>
    </xf>
    <xf numFmtId="10" fontId="34" fillId="0" borderId="4" xfId="0" applyNumberFormat="1" applyFont="1" applyBorder="1" applyAlignment="1">
      <alignment horizontal="center" vertical="center" wrapText="1"/>
    </xf>
    <xf numFmtId="0" fontId="34" fillId="0" borderId="7" xfId="0" applyFont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 wrapText="1"/>
    </xf>
    <xf numFmtId="10" fontId="35" fillId="0" borderId="9" xfId="0" applyNumberFormat="1" applyFont="1" applyBorder="1" applyAlignment="1">
      <alignment horizontal="center" vertical="center" wrapText="1"/>
    </xf>
    <xf numFmtId="10" fontId="34" fillId="0" borderId="27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10" fontId="32" fillId="0" borderId="16" xfId="0" applyNumberFormat="1" applyFont="1" applyBorder="1" applyAlignment="1">
      <alignment horizontal="center" vertical="center" wrapText="1"/>
    </xf>
    <xf numFmtId="169" fontId="17" fillId="0" borderId="16" xfId="0" applyNumberFormat="1" applyFont="1" applyFill="1" applyBorder="1" applyAlignment="1">
      <alignment horizontal="center" vertical="center"/>
    </xf>
    <xf numFmtId="10" fontId="17" fillId="0" borderId="17" xfId="0" applyNumberFormat="1" applyFont="1" applyBorder="1" applyAlignment="1">
      <alignment horizontal="center" vertical="center" wrapText="1"/>
    </xf>
    <xf numFmtId="169" fontId="17" fillId="0" borderId="16" xfId="0" applyNumberFormat="1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10" fontId="34" fillId="0" borderId="10" xfId="0" applyNumberFormat="1" applyFont="1" applyBorder="1" applyAlignment="1">
      <alignment horizontal="center" vertical="center" wrapText="1"/>
    </xf>
    <xf numFmtId="169" fontId="34" fillId="0" borderId="10" xfId="0" applyNumberFormat="1" applyFont="1" applyBorder="1" applyAlignment="1">
      <alignment horizontal="center" vertical="center" wrapText="1"/>
    </xf>
    <xf numFmtId="10" fontId="35" fillId="0" borderId="11" xfId="0" applyNumberFormat="1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10" fontId="34" fillId="0" borderId="8" xfId="0" applyNumberFormat="1" applyFont="1" applyBorder="1" applyAlignment="1">
      <alignment horizontal="center" vertical="center" wrapText="1"/>
    </xf>
    <xf numFmtId="169" fontId="34" fillId="0" borderId="8" xfId="0" applyNumberFormat="1" applyFont="1" applyBorder="1" applyAlignment="1">
      <alignment horizontal="center" vertical="center" wrapText="1"/>
    </xf>
    <xf numFmtId="10" fontId="35" fillId="0" borderId="4" xfId="0" applyNumberFormat="1" applyFont="1" applyFill="1" applyBorder="1" applyAlignment="1">
      <alignment horizontal="center" vertical="center" wrapText="1"/>
    </xf>
    <xf numFmtId="169" fontId="34" fillId="0" borderId="8" xfId="0" applyNumberFormat="1" applyFont="1" applyFill="1" applyBorder="1" applyAlignment="1">
      <alignment horizontal="center" vertical="center" wrapText="1"/>
    </xf>
    <xf numFmtId="10" fontId="34" fillId="37" borderId="8" xfId="0" applyNumberFormat="1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10" fontId="34" fillId="0" borderId="9" xfId="0" applyNumberFormat="1" applyFont="1" applyBorder="1" applyAlignment="1">
      <alignment horizontal="center" vertical="center" wrapText="1"/>
    </xf>
    <xf numFmtId="169" fontId="34" fillId="0" borderId="9" xfId="0" applyNumberFormat="1" applyFont="1" applyFill="1" applyBorder="1" applyAlignment="1">
      <alignment horizontal="center" vertical="center" wrapText="1"/>
    </xf>
    <xf numFmtId="10" fontId="35" fillId="37" borderId="27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10" fontId="17" fillId="0" borderId="16" xfId="0" applyNumberFormat="1" applyFont="1" applyBorder="1" applyAlignment="1">
      <alignment horizontal="center" vertical="center" wrapText="1"/>
    </xf>
    <xf numFmtId="169" fontId="32" fillId="0" borderId="16" xfId="0" applyNumberFormat="1" applyFont="1" applyFill="1" applyBorder="1" applyAlignment="1">
      <alignment horizontal="center" vertical="center" wrapText="1"/>
    </xf>
    <xf numFmtId="10" fontId="17" fillId="0" borderId="17" xfId="0" applyNumberFormat="1" applyFont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34" fillId="38" borderId="5" xfId="0" applyFont="1" applyFill="1" applyBorder="1" applyAlignment="1">
      <alignment vertical="center" wrapText="1"/>
    </xf>
    <xf numFmtId="174" fontId="35" fillId="41" borderId="10" xfId="0" applyNumberFormat="1" applyFont="1" applyFill="1" applyBorder="1" applyAlignment="1">
      <alignment horizontal="right" vertical="center" wrapText="1"/>
    </xf>
    <xf numFmtId="10" fontId="35" fillId="0" borderId="11" xfId="0" applyNumberFormat="1" applyFont="1" applyFill="1" applyBorder="1" applyAlignment="1">
      <alignment horizontal="center" vertical="center"/>
    </xf>
    <xf numFmtId="0" fontId="34" fillId="38" borderId="6" xfId="0" applyFont="1" applyFill="1" applyBorder="1" applyAlignment="1">
      <alignment vertical="center" wrapText="1"/>
    </xf>
    <xf numFmtId="174" fontId="35" fillId="41" borderId="8" xfId="0" applyNumberFormat="1" applyFont="1" applyFill="1" applyBorder="1" applyAlignment="1">
      <alignment horizontal="right" vertical="center" wrapText="1"/>
    </xf>
    <xf numFmtId="10" fontId="35" fillId="0" borderId="4" xfId="0" applyNumberFormat="1" applyFont="1" applyFill="1" applyBorder="1" applyAlignment="1">
      <alignment horizontal="center" vertical="center"/>
    </xf>
    <xf numFmtId="0" fontId="34" fillId="32" borderId="6" xfId="0" applyFont="1" applyFill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174" fontId="35" fillId="41" borderId="19" xfId="0" applyNumberFormat="1" applyFont="1" applyFill="1" applyBorder="1" applyAlignment="1">
      <alignment horizontal="right" vertical="center" wrapText="1"/>
    </xf>
    <xf numFmtId="0" fontId="34" fillId="32" borderId="8" xfId="0" applyFont="1" applyFill="1" applyBorder="1" applyAlignment="1">
      <alignment horizontal="center" vertical="center" wrapText="1"/>
    </xf>
    <xf numFmtId="0" fontId="34" fillId="38" borderId="9" xfId="0" applyFont="1" applyFill="1" applyBorder="1" applyAlignment="1">
      <alignment horizontal="center" vertical="center" wrapText="1"/>
    </xf>
    <xf numFmtId="174" fontId="35" fillId="41" borderId="9" xfId="0" applyNumberFormat="1" applyFont="1" applyFill="1" applyBorder="1" applyAlignment="1">
      <alignment horizontal="right" vertical="center" wrapText="1"/>
    </xf>
    <xf numFmtId="10" fontId="35" fillId="0" borderId="27" xfId="0" applyNumberFormat="1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 wrapText="1"/>
    </xf>
    <xf numFmtId="10" fontId="17" fillId="0" borderId="14" xfId="0" applyNumberFormat="1" applyFont="1" applyBorder="1" applyAlignment="1">
      <alignment horizontal="center" vertical="center" wrapText="1"/>
    </xf>
    <xf numFmtId="10" fontId="32" fillId="0" borderId="17" xfId="0" applyNumberFormat="1" applyFont="1" applyFill="1" applyBorder="1" applyAlignment="1">
      <alignment horizontal="center" vertical="center"/>
    </xf>
    <xf numFmtId="3" fontId="28" fillId="0" borderId="3" xfId="0" applyNumberFormat="1" applyFont="1" applyBorder="1"/>
    <xf numFmtId="3" fontId="27" fillId="0" borderId="0" xfId="0" applyNumberFormat="1" applyFont="1"/>
    <xf numFmtId="3" fontId="22" fillId="0" borderId="3" xfId="0" applyNumberFormat="1" applyFont="1" applyBorder="1"/>
    <xf numFmtId="3" fontId="20" fillId="0" borderId="0" xfId="0" applyNumberFormat="1" applyFont="1" applyFill="1"/>
    <xf numFmtId="171" fontId="20" fillId="0" borderId="2" xfId="0" applyNumberFormat="1" applyFont="1" applyBorder="1" applyAlignment="1">
      <alignment horizontal="center" vertical="center"/>
    </xf>
    <xf numFmtId="171" fontId="20" fillId="0" borderId="16" xfId="31" applyNumberFormat="1" applyFont="1" applyBorder="1" applyAlignment="1">
      <alignment horizontal="center" vertical="center"/>
    </xf>
    <xf numFmtId="3" fontId="0" fillId="0" borderId="0" xfId="0" applyNumberFormat="1" applyFont="1"/>
    <xf numFmtId="3" fontId="0" fillId="0" borderId="0" xfId="0" applyNumberFormat="1" applyFont="1" applyBorder="1"/>
    <xf numFmtId="3" fontId="17" fillId="38" borderId="16" xfId="0" applyNumberFormat="1" applyFont="1" applyFill="1" applyBorder="1" applyAlignment="1">
      <alignment horizontal="right" vertical="center" wrapText="1"/>
    </xf>
    <xf numFmtId="174" fontId="19" fillId="0" borderId="0" xfId="0" applyNumberFormat="1" applyFont="1"/>
    <xf numFmtId="0" fontId="34" fillId="0" borderId="5" xfId="0" applyFont="1" applyBorder="1" applyAlignment="1">
      <alignment horizontal="left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69" fontId="35" fillId="0" borderId="10" xfId="29" applyNumberFormat="1" applyFont="1" applyFill="1" applyBorder="1" applyAlignment="1">
      <alignment vertical="center" wrapText="1"/>
    </xf>
    <xf numFmtId="0" fontId="34" fillId="0" borderId="6" xfId="0" applyFont="1" applyBorder="1" applyAlignment="1">
      <alignment horizontal="left" vertical="center" wrapText="1"/>
    </xf>
    <xf numFmtId="1" fontId="34" fillId="0" borderId="8" xfId="0" applyNumberFormat="1" applyFont="1" applyBorder="1" applyAlignment="1">
      <alignment horizontal="center" vertical="center" wrapText="1"/>
    </xf>
    <xf numFmtId="169" fontId="35" fillId="0" borderId="8" xfId="29" applyNumberFormat="1" applyFont="1" applyFill="1" applyBorder="1" applyAlignment="1">
      <alignment vertical="center" wrapText="1"/>
    </xf>
    <xf numFmtId="169" fontId="35" fillId="0" borderId="8" xfId="0" applyNumberFormat="1" applyFont="1" applyFill="1" applyBorder="1" applyAlignment="1">
      <alignment vertical="center" wrapText="1"/>
    </xf>
    <xf numFmtId="167" fontId="35" fillId="0" borderId="8" xfId="40" applyNumberFormat="1" applyFont="1" applyFill="1" applyBorder="1" applyAlignment="1">
      <alignment vertical="center"/>
    </xf>
    <xf numFmtId="167" fontId="35" fillId="0" borderId="8" xfId="40" applyNumberFormat="1" applyFont="1" applyBorder="1" applyAlignment="1">
      <alignment vertical="center"/>
    </xf>
    <xf numFmtId="0" fontId="34" fillId="0" borderId="6" xfId="0" quotePrefix="1" applyFont="1" applyBorder="1" applyAlignment="1">
      <alignment vertical="center" wrapText="1"/>
    </xf>
    <xf numFmtId="0" fontId="37" fillId="0" borderId="6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1" fontId="34" fillId="0" borderId="9" xfId="0" applyNumberFormat="1" applyFont="1" applyBorder="1" applyAlignment="1">
      <alignment horizontal="center" vertical="center" wrapText="1"/>
    </xf>
    <xf numFmtId="169" fontId="35" fillId="0" borderId="9" xfId="0" applyNumberFormat="1" applyFont="1" applyFill="1" applyBorder="1" applyAlignment="1">
      <alignment vertical="center" wrapText="1"/>
    </xf>
    <xf numFmtId="1" fontId="17" fillId="0" borderId="43" xfId="0" applyNumberFormat="1" applyFont="1" applyFill="1" applyBorder="1" applyAlignment="1">
      <alignment horizontal="center" vertical="center" wrapText="1"/>
    </xf>
    <xf numFmtId="10" fontId="17" fillId="0" borderId="43" xfId="0" applyNumberFormat="1" applyFont="1" applyFill="1" applyBorder="1" applyAlignment="1">
      <alignment horizontal="center" vertical="center" wrapText="1"/>
    </xf>
    <xf numFmtId="168" fontId="17" fillId="0" borderId="16" xfId="0" applyNumberFormat="1" applyFont="1" applyFill="1" applyBorder="1" applyAlignment="1">
      <alignment horizontal="center" vertical="center"/>
    </xf>
    <xf numFmtId="171" fontId="17" fillId="0" borderId="16" xfId="0" applyNumberFormat="1" applyFont="1" applyFill="1" applyBorder="1" applyAlignment="1">
      <alignment horizontal="center" vertical="center"/>
    </xf>
    <xf numFmtId="17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1" fontId="22" fillId="0" borderId="3" xfId="0" applyNumberFormat="1" applyFont="1" applyBorder="1" applyAlignment="1">
      <alignment horizontal="center" vertical="center"/>
    </xf>
    <xf numFmtId="171" fontId="22" fillId="0" borderId="13" xfId="0" applyNumberFormat="1" applyFont="1" applyBorder="1" applyAlignment="1">
      <alignment horizontal="center" vertical="center"/>
    </xf>
    <xf numFmtId="171" fontId="20" fillId="0" borderId="16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vertical="center" wrapText="1"/>
    </xf>
    <xf numFmtId="0" fontId="38" fillId="0" borderId="45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10" fontId="37" fillId="0" borderId="10" xfId="0" applyNumberFormat="1" applyFont="1" applyBorder="1" applyAlignment="1">
      <alignment horizontal="center" vertical="center" wrapText="1"/>
    </xf>
    <xf numFmtId="173" fontId="34" fillId="0" borderId="10" xfId="0" applyNumberFormat="1" applyFont="1" applyBorder="1" applyAlignment="1">
      <alignment horizontal="right" vertical="center" wrapText="1"/>
    </xf>
    <xf numFmtId="10" fontId="34" fillId="0" borderId="12" xfId="0" applyNumberFormat="1" applyFont="1" applyFill="1" applyBorder="1" applyAlignment="1">
      <alignment horizontal="center" vertical="center"/>
    </xf>
    <xf numFmtId="0" fontId="37" fillId="0" borderId="4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vertical="center" wrapText="1"/>
    </xf>
    <xf numFmtId="173" fontId="34" fillId="0" borderId="19" xfId="0" applyNumberFormat="1" applyFont="1" applyBorder="1" applyAlignment="1">
      <alignment horizontal="right" vertical="center"/>
    </xf>
    <xf numFmtId="174" fontId="34" fillId="0" borderId="8" xfId="0" applyNumberFormat="1" applyFont="1" applyBorder="1" applyAlignment="1">
      <alignment horizontal="right" vertical="center" wrapText="1"/>
    </xf>
    <xf numFmtId="0" fontId="37" fillId="0" borderId="8" xfId="0" applyFont="1" applyBorder="1" applyAlignment="1">
      <alignment horizontal="right" vertical="center" wrapText="1"/>
    </xf>
    <xf numFmtId="0" fontId="37" fillId="42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 wrapText="1"/>
    </xf>
    <xf numFmtId="10" fontId="17" fillId="0" borderId="12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10" fontId="35" fillId="0" borderId="10" xfId="0" applyNumberFormat="1" applyFont="1" applyBorder="1" applyAlignment="1">
      <alignment horizontal="center" vertical="center" wrapText="1"/>
    </xf>
    <xf numFmtId="10" fontId="35" fillId="0" borderId="27" xfId="0" applyNumberFormat="1" applyFont="1" applyFill="1" applyBorder="1" applyAlignment="1">
      <alignment horizontal="center" vertical="center" wrapText="1"/>
    </xf>
    <xf numFmtId="10" fontId="32" fillId="0" borderId="16" xfId="0" applyNumberFormat="1" applyFont="1" applyFill="1" applyBorder="1" applyAlignment="1">
      <alignment horizontal="center" vertical="center" wrapText="1"/>
    </xf>
    <xf numFmtId="10" fontId="32" fillId="0" borderId="17" xfId="0" applyNumberFormat="1" applyFont="1" applyFill="1" applyBorder="1" applyAlignment="1">
      <alignment horizontal="center" vertical="center" wrapText="1"/>
    </xf>
    <xf numFmtId="0" fontId="29" fillId="32" borderId="6" xfId="0" applyFont="1" applyFill="1" applyBorder="1" applyAlignment="1">
      <alignment horizontal="left" vertical="center" wrapText="1"/>
    </xf>
    <xf numFmtId="4" fontId="29" fillId="32" borderId="6" xfId="0" applyNumberFormat="1" applyFont="1" applyFill="1" applyBorder="1" applyAlignment="1">
      <alignment horizontal="left" vertical="center" wrapText="1"/>
    </xf>
    <xf numFmtId="0" fontId="29" fillId="32" borderId="7" xfId="0" applyFont="1" applyFill="1" applyBorder="1" applyAlignment="1">
      <alignment horizontal="left" vertical="center" wrapText="1"/>
    </xf>
    <xf numFmtId="168" fontId="32" fillId="0" borderId="16" xfId="0" applyNumberFormat="1" applyFont="1" applyFill="1" applyBorder="1" applyAlignment="1">
      <alignment horizontal="right" vertical="center"/>
    </xf>
    <xf numFmtId="0" fontId="29" fillId="32" borderId="2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center" vertical="center" wrapText="1"/>
    </xf>
    <xf numFmtId="10" fontId="35" fillId="0" borderId="14" xfId="0" applyNumberFormat="1" applyFont="1" applyBorder="1" applyAlignment="1">
      <alignment horizontal="center" vertical="center" wrapText="1"/>
    </xf>
    <xf numFmtId="10" fontId="35" fillId="0" borderId="12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10" fontId="34" fillId="0" borderId="10" xfId="0" applyNumberFormat="1" applyFont="1" applyFill="1" applyBorder="1" applyAlignment="1">
      <alignment horizontal="center" vertical="center" wrapText="1"/>
    </xf>
    <xf numFmtId="169" fontId="34" fillId="0" borderId="10" xfId="0" applyNumberFormat="1" applyFont="1" applyFill="1" applyBorder="1" applyAlignment="1">
      <alignment horizontal="center" vertical="center" wrapText="1"/>
    </xf>
    <xf numFmtId="10" fontId="34" fillId="0" borderId="11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/>
    </xf>
    <xf numFmtId="169" fontId="34" fillId="0" borderId="8" xfId="32" applyNumberFormat="1" applyFont="1" applyBorder="1" applyAlignment="1">
      <alignment horizontal="center" vertical="center" wrapText="1"/>
    </xf>
    <xf numFmtId="10" fontId="34" fillId="0" borderId="4" xfId="0" applyNumberFormat="1" applyFont="1" applyFill="1" applyBorder="1" applyAlignment="1">
      <alignment horizontal="center" vertical="center" wrapText="1"/>
    </xf>
    <xf numFmtId="1" fontId="34" fillId="0" borderId="8" xfId="0" applyNumberFormat="1" applyFont="1" applyFill="1" applyBorder="1" applyAlignment="1">
      <alignment horizontal="center" vertical="center" wrapText="1"/>
    </xf>
    <xf numFmtId="10" fontId="34" fillId="0" borderId="8" xfId="0" applyNumberFormat="1" applyFont="1" applyBorder="1" applyAlignment="1" applyProtection="1">
      <alignment horizontal="center" vertical="center" wrapText="1"/>
      <protection locked="0"/>
    </xf>
    <xf numFmtId="10" fontId="34" fillId="0" borderId="8" xfId="0" applyNumberFormat="1" applyFont="1" applyFill="1" applyBorder="1" applyAlignment="1">
      <alignment horizontal="center" vertical="center" wrapText="1"/>
    </xf>
    <xf numFmtId="10" fontId="34" fillId="32" borderId="8" xfId="0" applyNumberFormat="1" applyFont="1" applyFill="1" applyBorder="1" applyAlignment="1">
      <alignment horizontal="center" vertical="center" wrapText="1"/>
    </xf>
    <xf numFmtId="10" fontId="34" fillId="0" borderId="19" xfId="0" applyNumberFormat="1" applyFont="1" applyFill="1" applyBorder="1" applyAlignment="1">
      <alignment horizontal="center" vertical="center" wrapText="1"/>
    </xf>
    <xf numFmtId="10" fontId="34" fillId="0" borderId="41" xfId="0" applyNumberFormat="1" applyFont="1" applyFill="1" applyBorder="1" applyAlignment="1">
      <alignment horizontal="center" vertical="center" wrapText="1"/>
    </xf>
    <xf numFmtId="1" fontId="34" fillId="0" borderId="9" xfId="0" applyNumberFormat="1" applyFont="1" applyFill="1" applyBorder="1" applyAlignment="1">
      <alignment horizontal="center" vertical="center" wrapText="1"/>
    </xf>
    <xf numFmtId="10" fontId="34" fillId="0" borderId="9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0" fontId="17" fillId="0" borderId="16" xfId="0" applyNumberFormat="1" applyFont="1" applyFill="1" applyBorder="1" applyAlignment="1">
      <alignment horizontal="center" vertical="center" wrapText="1"/>
    </xf>
    <xf numFmtId="177" fontId="32" fillId="0" borderId="16" xfId="0" applyNumberFormat="1" applyFont="1" applyFill="1" applyBorder="1" applyAlignment="1">
      <alignment horizontal="right" vertical="center" wrapText="1"/>
    </xf>
    <xf numFmtId="10" fontId="17" fillId="0" borderId="12" xfId="0" applyNumberFormat="1" applyFont="1" applyFill="1" applyBorder="1" applyAlignment="1">
      <alignment horizontal="center" vertical="center" wrapText="1"/>
    </xf>
    <xf numFmtId="171" fontId="39" fillId="0" borderId="3" xfId="0" applyNumberFormat="1" applyFont="1" applyBorder="1" applyAlignment="1">
      <alignment horizontal="center" vertical="center"/>
    </xf>
    <xf numFmtId="171" fontId="39" fillId="0" borderId="13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69" fontId="35" fillId="32" borderId="10" xfId="0" applyNumberFormat="1" applyFont="1" applyFill="1" applyBorder="1" applyAlignment="1">
      <alignment vertical="center" wrapText="1"/>
    </xf>
    <xf numFmtId="169" fontId="35" fillId="32" borderId="19" xfId="0" applyNumberFormat="1" applyFont="1" applyFill="1" applyBorder="1" applyAlignment="1">
      <alignment vertical="center" wrapText="1"/>
    </xf>
    <xf numFmtId="169" fontId="35" fillId="32" borderId="8" xfId="0" applyNumberFormat="1" applyFont="1" applyFill="1" applyBorder="1" applyAlignment="1">
      <alignment vertical="center" wrapText="1"/>
    </xf>
    <xf numFmtId="0" fontId="37" fillId="0" borderId="6" xfId="0" applyFont="1" applyBorder="1" applyAlignment="1">
      <alignment horizontal="left" vertical="center" wrapText="1"/>
    </xf>
    <xf numFmtId="169" fontId="35" fillId="32" borderId="8" xfId="0" applyNumberFormat="1" applyFont="1" applyFill="1" applyBorder="1" applyAlignment="1">
      <alignment horizontal="right" vertical="center" wrapText="1"/>
    </xf>
    <xf numFmtId="49" fontId="37" fillId="0" borderId="24" xfId="0" applyNumberFormat="1" applyFont="1" applyBorder="1" applyAlignment="1">
      <alignment vertical="center" wrapText="1"/>
    </xf>
    <xf numFmtId="10" fontId="34" fillId="0" borderId="41" xfId="0" applyNumberFormat="1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10" fontId="17" fillId="0" borderId="21" xfId="0" applyNumberFormat="1" applyFont="1" applyFill="1" applyBorder="1" applyAlignment="1">
      <alignment horizontal="center" vertical="center" wrapText="1"/>
    </xf>
    <xf numFmtId="3" fontId="40" fillId="0" borderId="13" xfId="0" applyNumberFormat="1" applyFont="1" applyBorder="1" applyAlignment="1">
      <alignment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10" fontId="17" fillId="0" borderId="15" xfId="0" applyNumberFormat="1" applyFont="1" applyBorder="1" applyAlignment="1">
      <alignment horizontal="center" vertical="center" wrapText="1"/>
    </xf>
    <xf numFmtId="178" fontId="34" fillId="0" borderId="10" xfId="0" applyNumberFormat="1" applyFont="1" applyFill="1" applyBorder="1" applyAlignment="1">
      <alignment vertical="center" wrapText="1"/>
    </xf>
    <xf numFmtId="10" fontId="34" fillId="0" borderId="11" xfId="0" applyNumberFormat="1" applyFont="1" applyFill="1" applyBorder="1" applyAlignment="1">
      <alignment vertical="center"/>
    </xf>
    <xf numFmtId="178" fontId="34" fillId="0" borderId="8" xfId="0" applyNumberFormat="1" applyFont="1" applyFill="1" applyBorder="1" applyAlignment="1">
      <alignment horizontal="center" vertical="center" wrapText="1"/>
    </xf>
    <xf numFmtId="178" fontId="34" fillId="0" borderId="9" xfId="0" applyNumberFormat="1" applyFont="1" applyFill="1" applyBorder="1" applyAlignment="1">
      <alignment vertical="center" wrapText="1"/>
    </xf>
    <xf numFmtId="3" fontId="17" fillId="0" borderId="13" xfId="0" applyNumberFormat="1" applyFont="1" applyBorder="1" applyAlignment="1">
      <alignment horizontal="right" vertical="center" wrapText="1"/>
    </xf>
    <xf numFmtId="10" fontId="17" fillId="0" borderId="15" xfId="0" applyNumberFormat="1" applyFont="1" applyFill="1" applyBorder="1"/>
    <xf numFmtId="3" fontId="22" fillId="34" borderId="14" xfId="0" applyNumberFormat="1" applyFont="1" applyFill="1" applyBorder="1" applyAlignment="1">
      <alignment horizontal="center" vertical="center"/>
    </xf>
    <xf numFmtId="0" fontId="20" fillId="30" borderId="0" xfId="0" applyFont="1" applyFill="1" applyAlignment="1">
      <alignment horizontal="center"/>
    </xf>
    <xf numFmtId="3" fontId="22" fillId="37" borderId="8" xfId="0" applyNumberFormat="1" applyFont="1" applyFill="1" applyBorder="1" applyAlignment="1">
      <alignment horizontal="center" vertical="center"/>
    </xf>
    <xf numFmtId="0" fontId="35" fillId="0" borderId="5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10" fontId="35" fillId="0" borderId="31" xfId="0" applyNumberFormat="1" applyFont="1" applyBorder="1" applyAlignment="1">
      <alignment horizontal="center" vertical="center" wrapText="1"/>
    </xf>
    <xf numFmtId="169" fontId="35" fillId="0" borderId="10" xfId="0" applyNumberFormat="1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 wrapText="1"/>
    </xf>
    <xf numFmtId="10" fontId="35" fillId="0" borderId="0" xfId="0" applyNumberFormat="1" applyFont="1" applyAlignment="1">
      <alignment horizontal="center" vertical="center" wrapText="1"/>
    </xf>
    <xf numFmtId="169" fontId="35" fillId="0" borderId="8" xfId="0" applyNumberFormat="1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 wrapText="1"/>
    </xf>
    <xf numFmtId="0" fontId="35" fillId="0" borderId="19" xfId="0" applyFont="1" applyBorder="1" applyAlignment="1">
      <alignment horizontal="center" vertical="center" wrapText="1"/>
    </xf>
    <xf numFmtId="10" fontId="35" fillId="0" borderId="52" xfId="0" applyNumberFormat="1" applyFont="1" applyBorder="1" applyAlignment="1">
      <alignment horizontal="center" vertical="center" wrapText="1"/>
    </xf>
    <xf numFmtId="169" fontId="35" fillId="0" borderId="19" xfId="0" applyNumberFormat="1" applyFont="1" applyBorder="1" applyAlignment="1">
      <alignment horizontal="center" vertical="center" wrapText="1"/>
    </xf>
    <xf numFmtId="10" fontId="35" fillId="0" borderId="19" xfId="0" applyNumberFormat="1" applyFont="1" applyBorder="1" applyAlignment="1">
      <alignment horizontal="center" vertical="center" wrapText="1"/>
    </xf>
    <xf numFmtId="0" fontId="34" fillId="0" borderId="3" xfId="0" applyFont="1" applyFill="1" applyBorder="1" applyAlignment="1">
      <alignment vertical="center" wrapText="1"/>
    </xf>
    <xf numFmtId="10" fontId="32" fillId="0" borderId="13" xfId="0" applyNumberFormat="1" applyFont="1" applyBorder="1" applyAlignment="1">
      <alignment horizontal="center" vertical="center" wrapText="1"/>
    </xf>
    <xf numFmtId="169" fontId="32" fillId="0" borderId="35" xfId="0" applyNumberFormat="1" applyFont="1" applyBorder="1" applyAlignment="1">
      <alignment horizontal="center" vertical="center" wrapText="1"/>
    </xf>
    <xf numFmtId="10" fontId="32" fillId="0" borderId="36" xfId="0" applyNumberFormat="1" applyFont="1" applyBorder="1" applyAlignment="1">
      <alignment horizontal="center" vertical="center" wrapText="1"/>
    </xf>
    <xf numFmtId="171" fontId="0" fillId="0" borderId="0" xfId="0" applyNumberFormat="1" applyFont="1" applyAlignment="1">
      <alignment horizontal="center" vertical="center"/>
    </xf>
    <xf numFmtId="171" fontId="0" fillId="0" borderId="2" xfId="0" applyNumberFormat="1" applyFont="1" applyBorder="1" applyAlignment="1">
      <alignment horizontal="center" vertical="center"/>
    </xf>
    <xf numFmtId="171" fontId="0" fillId="0" borderId="16" xfId="0" applyNumberFormat="1" applyFont="1" applyBorder="1" applyAlignment="1">
      <alignment horizontal="center" vertical="center"/>
    </xf>
    <xf numFmtId="0" fontId="35" fillId="0" borderId="5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10" fontId="35" fillId="0" borderId="10" xfId="0" applyNumberFormat="1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 wrapText="1"/>
    </xf>
    <xf numFmtId="0" fontId="37" fillId="0" borderId="7" xfId="0" applyFont="1" applyFill="1" applyBorder="1" applyAlignment="1">
      <alignment vertical="center" wrapText="1"/>
    </xf>
    <xf numFmtId="169" fontId="35" fillId="0" borderId="9" xfId="0" applyNumberFormat="1" applyFont="1" applyBorder="1" applyAlignment="1">
      <alignment horizontal="center" vertical="center" wrapText="1"/>
    </xf>
    <xf numFmtId="0" fontId="35" fillId="0" borderId="5" xfId="0" applyFont="1" applyFill="1" applyBorder="1" applyAlignment="1">
      <alignment vertical="center" wrapText="1"/>
    </xf>
    <xf numFmtId="1" fontId="34" fillId="0" borderId="10" xfId="0" applyNumberFormat="1" applyFont="1" applyBorder="1" applyAlignment="1">
      <alignment horizontal="center" vertical="center"/>
    </xf>
    <xf numFmtId="9" fontId="35" fillId="0" borderId="10" xfId="0" applyNumberFormat="1" applyFont="1" applyBorder="1" applyAlignment="1">
      <alignment horizontal="center" vertical="center"/>
    </xf>
    <xf numFmtId="169" fontId="35" fillId="32" borderId="10" xfId="0" applyNumberFormat="1" applyFont="1" applyFill="1" applyBorder="1" applyAlignment="1">
      <alignment horizontal="center" vertical="center" wrapText="1"/>
    </xf>
    <xf numFmtId="10" fontId="34" fillId="0" borderId="11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vertical="center" wrapText="1"/>
    </xf>
    <xf numFmtId="1" fontId="35" fillId="0" borderId="8" xfId="0" applyNumberFormat="1" applyFont="1" applyFill="1" applyBorder="1" applyAlignment="1">
      <alignment horizontal="center" vertical="center" wrapText="1"/>
    </xf>
    <xf numFmtId="169" fontId="35" fillId="32" borderId="8" xfId="0" applyNumberFormat="1" applyFont="1" applyFill="1" applyBorder="1" applyAlignment="1">
      <alignment horizontal="center" vertical="center" wrapText="1"/>
    </xf>
    <xf numFmtId="10" fontId="34" fillId="0" borderId="4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vertical="center" wrapText="1"/>
    </xf>
    <xf numFmtId="1" fontId="35" fillId="0" borderId="9" xfId="0" applyNumberFormat="1" applyFont="1" applyFill="1" applyBorder="1" applyAlignment="1">
      <alignment horizontal="center" vertical="center" wrapText="1"/>
    </xf>
    <xf numFmtId="169" fontId="35" fillId="32" borderId="9" xfId="0" applyNumberFormat="1" applyFont="1" applyFill="1" applyBorder="1" applyAlignment="1">
      <alignment horizontal="center" vertical="center" wrapText="1"/>
    </xf>
    <xf numFmtId="10" fontId="34" fillId="0" borderId="27" xfId="0" applyNumberFormat="1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wrapText="1"/>
    </xf>
    <xf numFmtId="1" fontId="17" fillId="0" borderId="45" xfId="0" applyNumberFormat="1" applyFont="1" applyFill="1" applyBorder="1" applyAlignment="1">
      <alignment horizontal="center" wrapText="1"/>
    </xf>
    <xf numFmtId="10" fontId="17" fillId="0" borderId="45" xfId="0" applyNumberFormat="1" applyFont="1" applyFill="1" applyBorder="1" applyAlignment="1">
      <alignment horizontal="center" wrapText="1"/>
    </xf>
    <xf numFmtId="3" fontId="32" fillId="0" borderId="16" xfId="0" applyNumberFormat="1" applyFont="1" applyFill="1" applyBorder="1" applyAlignment="1">
      <alignment horizontal="center" vertical="center"/>
    </xf>
    <xf numFmtId="10" fontId="17" fillId="0" borderId="17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ont="1" applyFill="1" applyAlignment="1">
      <alignment horizontal="center"/>
    </xf>
    <xf numFmtId="0" fontId="35" fillId="32" borderId="10" xfId="0" applyFont="1" applyFill="1" applyBorder="1" applyAlignment="1">
      <alignment horizontal="center" vertical="center" wrapText="1"/>
    </xf>
    <xf numFmtId="169" fontId="34" fillId="32" borderId="10" xfId="0" applyNumberFormat="1" applyFont="1" applyFill="1" applyBorder="1" applyAlignment="1">
      <alignment horizontal="center" vertical="center" wrapText="1"/>
    </xf>
    <xf numFmtId="10" fontId="34" fillId="0" borderId="11" xfId="0" applyNumberFormat="1" applyFont="1" applyBorder="1" applyAlignment="1">
      <alignment horizontal="center" vertical="center"/>
    </xf>
    <xf numFmtId="169" fontId="34" fillId="32" borderId="19" xfId="0" applyNumberFormat="1" applyFont="1" applyFill="1" applyBorder="1" applyAlignment="1">
      <alignment horizontal="center" vertical="center" wrapText="1"/>
    </xf>
    <xf numFmtId="10" fontId="34" fillId="0" borderId="4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169" fontId="34" fillId="32" borderId="9" xfId="0" applyNumberFormat="1" applyFont="1" applyFill="1" applyBorder="1" applyAlignment="1">
      <alignment horizontal="center" vertical="center" wrapText="1"/>
    </xf>
    <xf numFmtId="10" fontId="34" fillId="0" borderId="27" xfId="0" applyNumberFormat="1" applyFont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left" vertical="center" wrapText="1"/>
    </xf>
    <xf numFmtId="169" fontId="34" fillId="0" borderId="10" xfId="32" applyNumberFormat="1" applyFont="1" applyFill="1" applyBorder="1" applyAlignment="1">
      <alignment horizontal="right" vertical="center" wrapText="1"/>
    </xf>
    <xf numFmtId="0" fontId="34" fillId="0" borderId="6" xfId="0" applyFont="1" applyFill="1" applyBorder="1" applyAlignment="1">
      <alignment horizontal="left" vertical="center" wrapText="1"/>
    </xf>
    <xf numFmtId="169" fontId="34" fillId="0" borderId="8" xfId="0" applyNumberFormat="1" applyFont="1" applyFill="1" applyBorder="1" applyAlignment="1">
      <alignment horizontal="right" vertical="center" wrapText="1"/>
    </xf>
    <xf numFmtId="169" fontId="34" fillId="32" borderId="8" xfId="0" applyNumberFormat="1" applyFont="1" applyFill="1" applyBorder="1" applyAlignment="1">
      <alignment horizontal="right" vertical="center" wrapText="1"/>
    </xf>
    <xf numFmtId="1" fontId="34" fillId="0" borderId="8" xfId="36" applyNumberFormat="1" applyFont="1" applyFill="1" applyBorder="1" applyAlignment="1">
      <alignment horizontal="center" vertical="center" wrapText="1"/>
    </xf>
    <xf numFmtId="169" fontId="34" fillId="0" borderId="8" xfId="32" applyNumberFormat="1" applyFont="1" applyFill="1" applyBorder="1" applyAlignment="1">
      <alignment horizontal="right" vertical="center" wrapText="1"/>
    </xf>
    <xf numFmtId="0" fontId="34" fillId="0" borderId="7" xfId="0" applyFont="1" applyFill="1" applyBorder="1" applyAlignment="1">
      <alignment horizontal="left" vertical="center" wrapText="1"/>
    </xf>
    <xf numFmtId="1" fontId="34" fillId="0" borderId="9" xfId="36" applyNumberFormat="1" applyFont="1" applyFill="1" applyBorder="1" applyAlignment="1">
      <alignment horizontal="center" vertical="center" wrapText="1"/>
    </xf>
    <xf numFmtId="169" fontId="34" fillId="0" borderId="9" xfId="0" applyNumberFormat="1" applyFont="1" applyFill="1" applyBorder="1" applyAlignment="1">
      <alignment horizontal="right" vertical="center" wrapText="1"/>
    </xf>
    <xf numFmtId="1" fontId="17" fillId="0" borderId="43" xfId="0" applyNumberFormat="1" applyFont="1" applyBorder="1" applyAlignment="1">
      <alignment horizontal="center" vertical="center" wrapText="1"/>
    </xf>
    <xf numFmtId="10" fontId="17" fillId="0" borderId="43" xfId="0" applyNumberFormat="1" applyFont="1" applyBorder="1" applyAlignment="1">
      <alignment horizontal="center" vertical="center" wrapText="1"/>
    </xf>
    <xf numFmtId="168" fontId="17" fillId="0" borderId="16" xfId="0" applyNumberFormat="1" applyFont="1" applyFill="1" applyBorder="1" applyAlignment="1">
      <alignment vertical="center" wrapText="1"/>
    </xf>
    <xf numFmtId="10" fontId="34" fillId="0" borderId="53" xfId="0" applyNumberFormat="1" applyFont="1" applyBorder="1" applyAlignment="1">
      <alignment horizontal="center" vertical="center" wrapText="1"/>
    </xf>
    <xf numFmtId="10" fontId="34" fillId="0" borderId="17" xfId="0" applyNumberFormat="1" applyFont="1" applyFill="1" applyBorder="1" applyAlignment="1">
      <alignment horizontal="center" vertical="center"/>
    </xf>
    <xf numFmtId="171" fontId="17" fillId="0" borderId="13" xfId="0" applyNumberFormat="1" applyFont="1" applyFill="1" applyBorder="1" applyAlignment="1">
      <alignment horizontal="center"/>
    </xf>
    <xf numFmtId="10" fontId="17" fillId="0" borderId="15" xfId="0" applyNumberFormat="1" applyFont="1" applyFill="1" applyBorder="1" applyAlignment="1">
      <alignment horizontal="center" vertical="center"/>
    </xf>
    <xf numFmtId="0" fontId="34" fillId="0" borderId="3" xfId="0" applyFont="1" applyBorder="1" applyAlignment="1">
      <alignment vertical="center" wrapText="1"/>
    </xf>
    <xf numFmtId="1" fontId="34" fillId="0" borderId="13" xfId="0" applyNumberFormat="1" applyFont="1" applyBorder="1" applyAlignment="1">
      <alignment horizontal="center" vertical="center" wrapText="1"/>
    </xf>
    <xf numFmtId="10" fontId="34" fillId="0" borderId="21" xfId="0" applyNumberFormat="1" applyFont="1" applyFill="1" applyBorder="1" applyAlignment="1">
      <alignment horizontal="center" vertical="center" wrapText="1"/>
    </xf>
    <xf numFmtId="169" fontId="34" fillId="0" borderId="13" xfId="0" applyNumberFormat="1" applyFont="1" applyBorder="1" applyAlignment="1">
      <alignment horizontal="center" vertical="center" wrapText="1"/>
    </xf>
    <xf numFmtId="175" fontId="34" fillId="0" borderId="13" xfId="0" applyNumberFormat="1" applyFont="1" applyBorder="1" applyAlignment="1">
      <alignment horizontal="center" vertical="center" wrapText="1"/>
    </xf>
    <xf numFmtId="10" fontId="34" fillId="0" borderId="15" xfId="0" applyNumberFormat="1" applyFont="1" applyFill="1" applyBorder="1" applyAlignment="1">
      <alignment horizontal="center" vertical="center"/>
    </xf>
    <xf numFmtId="167" fontId="17" fillId="0" borderId="13" xfId="0" applyNumberFormat="1" applyFont="1" applyFill="1" applyBorder="1" applyAlignment="1">
      <alignment horizontal="center" vertical="center"/>
    </xf>
    <xf numFmtId="10" fontId="31" fillId="0" borderId="8" xfId="0" applyNumberFormat="1" applyFont="1" applyBorder="1" applyAlignment="1">
      <alignment horizontal="center" vertical="center" wrapText="1"/>
    </xf>
    <xf numFmtId="169" fontId="31" fillId="0" borderId="8" xfId="0" applyNumberFormat="1" applyFont="1" applyBorder="1" applyAlignment="1">
      <alignment horizontal="center" vertical="center" wrapText="1"/>
    </xf>
    <xf numFmtId="169" fontId="31" fillId="32" borderId="8" xfId="0" applyNumberFormat="1" applyFont="1" applyFill="1" applyBorder="1" applyAlignment="1">
      <alignment horizontal="center" vertical="center" wrapText="1"/>
    </xf>
    <xf numFmtId="171" fontId="17" fillId="0" borderId="20" xfId="0" applyNumberFormat="1" applyFont="1" applyFill="1" applyBorder="1" applyAlignment="1">
      <alignment horizontal="center" vertical="center"/>
    </xf>
    <xf numFmtId="0" fontId="34" fillId="0" borderId="6" xfId="0" applyFont="1" applyBorder="1" applyAlignment="1">
      <alignment horizontal="justify" vertical="center" wrapText="1"/>
    </xf>
    <xf numFmtId="3" fontId="35" fillId="0" borderId="9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wrapText="1"/>
    </xf>
    <xf numFmtId="0" fontId="17" fillId="0" borderId="43" xfId="0" applyFont="1" applyFill="1" applyBorder="1" applyAlignment="1">
      <alignment horizontal="center" wrapText="1"/>
    </xf>
    <xf numFmtId="10" fontId="17" fillId="0" borderId="43" xfId="0" applyNumberFormat="1" applyFont="1" applyFill="1" applyBorder="1" applyAlignment="1">
      <alignment horizontal="center" wrapText="1"/>
    </xf>
    <xf numFmtId="3" fontId="17" fillId="0" borderId="16" xfId="0" applyNumberFormat="1" applyFont="1" applyFill="1" applyBorder="1" applyAlignment="1">
      <alignment horizontal="center" vertical="center"/>
    </xf>
    <xf numFmtId="169" fontId="35" fillId="0" borderId="14" xfId="0" applyNumberFormat="1" applyFont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center" vertical="center" wrapText="1"/>
    </xf>
    <xf numFmtId="10" fontId="35" fillId="0" borderId="8" xfId="0" applyNumberFormat="1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10" fontId="35" fillId="0" borderId="9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10" fontId="32" fillId="0" borderId="15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Border="1"/>
    <xf numFmtId="3" fontId="22" fillId="0" borderId="18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70" fontId="20" fillId="0" borderId="2" xfId="0" applyNumberFormat="1" applyFont="1" applyBorder="1" applyAlignment="1">
      <alignment horizontal="center" vertical="center"/>
    </xf>
    <xf numFmtId="170" fontId="20" fillId="0" borderId="16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left" wrapText="1"/>
    </xf>
    <xf numFmtId="0" fontId="34" fillId="0" borderId="44" xfId="0" applyFont="1" applyFill="1" applyBorder="1" applyAlignment="1">
      <alignment horizontal="center"/>
    </xf>
    <xf numFmtId="44" fontId="35" fillId="32" borderId="10" xfId="43" applyFont="1" applyFill="1" applyBorder="1" applyAlignment="1">
      <alignment vertical="center" wrapText="1"/>
    </xf>
    <xf numFmtId="10" fontId="35" fillId="0" borderId="12" xfId="0" applyNumberFormat="1" applyFont="1" applyFill="1" applyBorder="1" applyAlignment="1">
      <alignment horizontal="center"/>
    </xf>
    <xf numFmtId="0" fontId="34" fillId="0" borderId="6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center" vertical="center"/>
    </xf>
    <xf numFmtId="44" fontId="35" fillId="32" borderId="8" xfId="43" applyFont="1" applyFill="1" applyBorder="1" applyAlignment="1">
      <alignment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center" vertical="center"/>
    </xf>
    <xf numFmtId="44" fontId="35" fillId="32" borderId="9" xfId="43" applyFont="1" applyFill="1" applyBorder="1" applyAlignment="1">
      <alignment vertical="center" wrapText="1"/>
    </xf>
    <xf numFmtId="10" fontId="35" fillId="0" borderId="28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10" fontId="17" fillId="0" borderId="13" xfId="0" applyNumberFormat="1" applyFont="1" applyFill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horizontal="center"/>
    </xf>
    <xf numFmtId="10" fontId="32" fillId="0" borderId="15" xfId="0" applyNumberFormat="1" applyFont="1" applyFill="1" applyBorder="1" applyAlignment="1">
      <alignment horizontal="center"/>
    </xf>
    <xf numFmtId="1" fontId="35" fillId="32" borderId="10" xfId="0" applyNumberFormat="1" applyFont="1" applyFill="1" applyBorder="1" applyAlignment="1">
      <alignment horizontal="center" vertical="center" wrapText="1"/>
    </xf>
    <xf numFmtId="164" fontId="35" fillId="32" borderId="10" xfId="32" applyNumberFormat="1" applyFont="1" applyFill="1" applyBorder="1" applyAlignment="1">
      <alignment horizontal="center" vertical="center" wrapText="1"/>
    </xf>
    <xf numFmtId="164" fontId="35" fillId="0" borderId="10" xfId="32" applyNumberFormat="1" applyFont="1" applyBorder="1" applyAlignment="1">
      <alignment horizontal="center" vertical="center" wrapText="1"/>
    </xf>
    <xf numFmtId="164" fontId="35" fillId="32" borderId="8" xfId="32" applyNumberFormat="1" applyFont="1" applyFill="1" applyBorder="1" applyAlignment="1">
      <alignment horizontal="center" vertical="center" wrapText="1"/>
    </xf>
    <xf numFmtId="164" fontId="35" fillId="0" borderId="8" xfId="32" applyNumberFormat="1" applyFont="1" applyBorder="1" applyAlignment="1">
      <alignment horizontal="center" vertical="center" wrapText="1"/>
    </xf>
    <xf numFmtId="1" fontId="35" fillId="32" borderId="8" xfId="41" applyNumberFormat="1" applyFont="1" applyFill="1" applyBorder="1" applyAlignment="1">
      <alignment horizontal="center" vertical="center" wrapText="1"/>
    </xf>
    <xf numFmtId="10" fontId="35" fillId="0" borderId="8" xfId="0" applyNumberFormat="1" applyFont="1" applyBorder="1" applyAlignment="1">
      <alignment horizontal="center" vertical="center"/>
    </xf>
    <xf numFmtId="1" fontId="35" fillId="32" borderId="8" xfId="0" applyNumberFormat="1" applyFont="1" applyFill="1" applyBorder="1" applyAlignment="1">
      <alignment horizontal="center" vertical="center" wrapText="1"/>
    </xf>
    <xf numFmtId="1" fontId="35" fillId="0" borderId="8" xfId="0" applyNumberFormat="1" applyFont="1" applyBorder="1" applyAlignment="1">
      <alignment horizontal="center" vertical="center"/>
    </xf>
    <xf numFmtId="164" fontId="35" fillId="0" borderId="8" xfId="32" applyNumberFormat="1" applyFont="1" applyBorder="1" applyAlignment="1">
      <alignment horizontal="center" vertical="center"/>
    </xf>
    <xf numFmtId="1" fontId="35" fillId="0" borderId="8" xfId="0" applyNumberFormat="1" applyFont="1" applyBorder="1" applyAlignment="1">
      <alignment horizontal="center" vertical="center" wrapText="1"/>
    </xf>
    <xf numFmtId="164" fontId="35" fillId="0" borderId="8" xfId="32" applyNumberFormat="1" applyFont="1" applyFill="1" applyBorder="1" applyAlignment="1">
      <alignment horizontal="center" vertical="center" wrapText="1"/>
    </xf>
    <xf numFmtId="1" fontId="35" fillId="0" borderId="8" xfId="36" applyNumberFormat="1" applyFont="1" applyFill="1" applyBorder="1" applyAlignment="1">
      <alignment horizontal="center" vertical="center" wrapText="1"/>
    </xf>
    <xf numFmtId="1" fontId="35" fillId="32" borderId="8" xfId="0" applyNumberFormat="1" applyFont="1" applyFill="1" applyBorder="1" applyAlignment="1">
      <alignment horizontal="center" vertical="center"/>
    </xf>
    <xf numFmtId="1" fontId="35" fillId="32" borderId="8" xfId="42" applyNumberFormat="1" applyFont="1" applyFill="1" applyBorder="1" applyAlignment="1">
      <alignment horizontal="center" vertical="center" wrapText="1"/>
    </xf>
    <xf numFmtId="1" fontId="35" fillId="32" borderId="8" xfId="41" applyNumberFormat="1" applyFont="1" applyFill="1" applyBorder="1" applyAlignment="1">
      <alignment horizontal="center" vertical="center"/>
    </xf>
    <xf numFmtId="1" fontId="35" fillId="32" borderId="9" xfId="0" applyNumberFormat="1" applyFont="1" applyFill="1" applyBorder="1" applyAlignment="1">
      <alignment horizontal="center" vertical="center" wrapText="1"/>
    </xf>
    <xf numFmtId="10" fontId="35" fillId="0" borderId="9" xfId="0" applyNumberFormat="1" applyFont="1" applyBorder="1" applyAlignment="1">
      <alignment horizontal="center" vertical="center"/>
    </xf>
    <xf numFmtId="164" fontId="35" fillId="32" borderId="9" xfId="32" applyNumberFormat="1" applyFont="1" applyFill="1" applyBorder="1" applyAlignment="1">
      <alignment horizontal="center" vertical="center" wrapText="1"/>
    </xf>
    <xf numFmtId="164" fontId="35" fillId="0" borderId="9" xfId="32" applyNumberFormat="1" applyFont="1" applyBorder="1" applyAlignment="1">
      <alignment horizontal="center" vertical="center" wrapText="1"/>
    </xf>
    <xf numFmtId="1" fontId="17" fillId="0" borderId="43" xfId="0" applyNumberFormat="1" applyFont="1" applyFill="1" applyBorder="1" applyAlignment="1">
      <alignment horizontal="center" wrapText="1"/>
    </xf>
    <xf numFmtId="171" fontId="17" fillId="0" borderId="16" xfId="0" applyNumberFormat="1" applyFont="1" applyBorder="1" applyAlignment="1">
      <alignment wrapText="1"/>
    </xf>
    <xf numFmtId="10" fontId="17" fillId="0" borderId="17" xfId="0" applyNumberFormat="1" applyFont="1" applyBorder="1" applyAlignment="1">
      <alignment horizontal="center"/>
    </xf>
    <xf numFmtId="3" fontId="41" fillId="0" borderId="3" xfId="0" applyNumberFormat="1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/>
    </xf>
    <xf numFmtId="3" fontId="42" fillId="0" borderId="23" xfId="0" applyNumberFormat="1" applyFont="1" applyBorder="1" applyAlignment="1">
      <alignment horizontal="right"/>
    </xf>
    <xf numFmtId="3" fontId="41" fillId="31" borderId="14" xfId="0" applyNumberFormat="1" applyFont="1" applyFill="1" applyBorder="1" applyAlignment="1">
      <alignment horizontal="center" vertical="center" wrapText="1"/>
    </xf>
    <xf numFmtId="10" fontId="43" fillId="0" borderId="12" xfId="0" applyNumberFormat="1" applyFont="1" applyFill="1" applyBorder="1" applyAlignment="1">
      <alignment horizontal="center" vertical="center"/>
    </xf>
    <xf numFmtId="3" fontId="42" fillId="0" borderId="6" xfId="0" applyNumberFormat="1" applyFont="1" applyBorder="1" applyAlignment="1">
      <alignment horizontal="right"/>
    </xf>
    <xf numFmtId="3" fontId="41" fillId="30" borderId="8" xfId="0" applyNumberFormat="1" applyFont="1" applyFill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right"/>
    </xf>
    <xf numFmtId="3" fontId="41" fillId="37" borderId="19" xfId="0" applyNumberFormat="1" applyFont="1" applyFill="1" applyBorder="1" applyAlignment="1">
      <alignment horizontal="center" vertical="center" wrapText="1"/>
    </xf>
    <xf numFmtId="3" fontId="41" fillId="0" borderId="3" xfId="0" applyNumberFormat="1" applyFont="1" applyBorder="1" applyAlignment="1">
      <alignment wrapText="1"/>
    </xf>
    <xf numFmtId="3" fontId="41" fillId="0" borderId="15" xfId="0" applyNumberFormat="1" applyFont="1" applyFill="1" applyBorder="1" applyAlignment="1">
      <alignment horizontal="center" vertical="center" wrapText="1"/>
    </xf>
    <xf numFmtId="10" fontId="43" fillId="0" borderId="0" xfId="0" applyNumberFormat="1" applyFont="1" applyFill="1" applyBorder="1" applyAlignment="1">
      <alignment horizontal="center" vertical="center"/>
    </xf>
    <xf numFmtId="171" fontId="42" fillId="0" borderId="0" xfId="0" applyNumberFormat="1" applyFont="1" applyAlignment="1">
      <alignment wrapText="1"/>
    </xf>
    <xf numFmtId="0" fontId="42" fillId="0" borderId="0" xfId="0" applyFont="1"/>
    <xf numFmtId="0" fontId="41" fillId="0" borderId="15" xfId="0" applyFont="1" applyBorder="1" applyAlignment="1">
      <alignment horizontal="center" vertical="center"/>
    </xf>
    <xf numFmtId="170" fontId="42" fillId="0" borderId="2" xfId="0" applyNumberFormat="1" applyFont="1" applyBorder="1" applyAlignment="1">
      <alignment horizontal="center" vertical="center" wrapText="1"/>
    </xf>
    <xf numFmtId="170" fontId="42" fillId="0" borderId="16" xfId="0" applyNumberFormat="1" applyFont="1" applyBorder="1" applyAlignment="1">
      <alignment horizontal="center" vertical="center" wrapText="1"/>
    </xf>
    <xf numFmtId="10" fontId="42" fillId="0" borderId="17" xfId="0" applyNumberFormat="1" applyFont="1" applyBorder="1" applyAlignment="1">
      <alignment horizontal="center" vertical="center"/>
    </xf>
    <xf numFmtId="169" fontId="35" fillId="0" borderId="10" xfId="0" applyNumberFormat="1" applyFont="1" applyBorder="1" applyAlignment="1">
      <alignment horizontal="right" vertical="center" wrapText="1"/>
    </xf>
    <xf numFmtId="0" fontId="34" fillId="0" borderId="19" xfId="0" applyFont="1" applyFill="1" applyBorder="1" applyAlignment="1">
      <alignment horizontal="center" vertical="center" wrapText="1"/>
    </xf>
    <xf numFmtId="10" fontId="34" fillId="0" borderId="43" xfId="0" applyNumberFormat="1" applyFont="1" applyBorder="1" applyAlignment="1">
      <alignment horizontal="center" vertical="center" wrapText="1"/>
    </xf>
    <xf numFmtId="169" fontId="35" fillId="0" borderId="9" xfId="0" applyNumberFormat="1" applyFont="1" applyBorder="1" applyAlignment="1">
      <alignment horizontal="right" vertical="center" wrapText="1"/>
    </xf>
    <xf numFmtId="168" fontId="17" fillId="0" borderId="13" xfId="0" applyNumberFormat="1" applyFont="1" applyFill="1" applyBorder="1" applyAlignment="1">
      <alignment vertical="center"/>
    </xf>
    <xf numFmtId="3" fontId="22" fillId="0" borderId="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31" borderId="8" xfId="0" applyNumberFormat="1" applyFont="1" applyFill="1" applyBorder="1" applyAlignment="1">
      <alignment horizontal="center" vertical="center"/>
    </xf>
    <xf numFmtId="10" fontId="5" fillId="0" borderId="49" xfId="0" applyNumberFormat="1" applyFont="1" applyFill="1" applyBorder="1" applyAlignment="1">
      <alignment horizontal="center" vertical="center"/>
    </xf>
    <xf numFmtId="3" fontId="22" fillId="0" borderId="25" xfId="0" applyNumberFormat="1" applyFont="1" applyBorder="1"/>
    <xf numFmtId="3" fontId="22" fillId="0" borderId="51" xfId="0" applyNumberFormat="1" applyFont="1" applyFill="1" applyBorder="1" applyAlignment="1">
      <alignment horizontal="center" vertical="center"/>
    </xf>
    <xf numFmtId="10" fontId="5" fillId="0" borderId="5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/>
    <xf numFmtId="0" fontId="34" fillId="0" borderId="3" xfId="0" applyFont="1" applyFill="1" applyBorder="1" applyAlignment="1">
      <alignment horizontal="left" vertical="center" wrapText="1"/>
    </xf>
    <xf numFmtId="0" fontId="34" fillId="0" borderId="35" xfId="0" applyFont="1" applyBorder="1" applyAlignment="1">
      <alignment horizontal="center" vertical="center" wrapText="1"/>
    </xf>
    <xf numFmtId="10" fontId="34" fillId="0" borderId="13" xfId="0" applyNumberFormat="1" applyFont="1" applyBorder="1" applyAlignment="1">
      <alignment horizontal="center" vertical="center" wrapText="1"/>
    </xf>
    <xf numFmtId="169" fontId="34" fillId="0" borderId="13" xfId="0" applyNumberFormat="1" applyFont="1" applyBorder="1" applyAlignment="1">
      <alignment horizontal="center" vertical="center"/>
    </xf>
    <xf numFmtId="10" fontId="35" fillId="37" borderId="25" xfId="0" applyNumberFormat="1" applyFont="1" applyFill="1" applyBorder="1" applyAlignment="1">
      <alignment horizontal="center" vertical="center"/>
    </xf>
    <xf numFmtId="10" fontId="17" fillId="37" borderId="43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center"/>
    </xf>
    <xf numFmtId="10" fontId="32" fillId="37" borderId="15" xfId="0" applyNumberFormat="1" applyFont="1" applyFill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10" fontId="35" fillId="0" borderId="33" xfId="0" applyNumberFormat="1" applyFont="1" applyBorder="1" applyAlignment="1">
      <alignment horizontal="center" vertical="center" wrapText="1"/>
    </xf>
    <xf numFmtId="169" fontId="44" fillId="32" borderId="10" xfId="0" applyNumberFormat="1" applyFont="1" applyFill="1" applyBorder="1" applyAlignment="1">
      <alignment vertical="center" wrapText="1"/>
    </xf>
    <xf numFmtId="169" fontId="44" fillId="32" borderId="8" xfId="0" applyNumberFormat="1" applyFont="1" applyFill="1" applyBorder="1" applyAlignment="1">
      <alignment vertical="center" wrapText="1"/>
    </xf>
    <xf numFmtId="169" fontId="44" fillId="32" borderId="9" xfId="0" applyNumberFormat="1" applyFont="1" applyFill="1" applyBorder="1" applyAlignment="1">
      <alignment vertical="center" wrapText="1"/>
    </xf>
    <xf numFmtId="169" fontId="35" fillId="0" borderId="14" xfId="40" applyNumberFormat="1" applyFont="1" applyFill="1" applyBorder="1" applyAlignment="1">
      <alignment horizontal="right" vertical="center"/>
    </xf>
    <xf numFmtId="170" fontId="35" fillId="0" borderId="14" xfId="40" applyNumberFormat="1" applyFont="1" applyFill="1" applyBorder="1" applyAlignment="1">
      <alignment horizontal="right" vertical="center"/>
    </xf>
    <xf numFmtId="169" fontId="35" fillId="0" borderId="8" xfId="40" applyNumberFormat="1" applyFont="1" applyFill="1" applyBorder="1" applyAlignment="1">
      <alignment horizontal="right" vertical="center"/>
    </xf>
    <xf numFmtId="170" fontId="35" fillId="0" borderId="8" xfId="40" applyNumberFormat="1" applyFont="1" applyFill="1" applyBorder="1" applyAlignment="1">
      <alignment horizontal="right" vertical="center"/>
    </xf>
    <xf numFmtId="1" fontId="34" fillId="32" borderId="10" xfId="0" applyNumberFormat="1" applyFont="1" applyFill="1" applyBorder="1" applyAlignment="1">
      <alignment horizontal="center" vertical="center" wrapText="1"/>
    </xf>
    <xf numFmtId="1" fontId="34" fillId="32" borderId="8" xfId="0" applyNumberFormat="1" applyFont="1" applyFill="1" applyBorder="1" applyAlignment="1">
      <alignment horizontal="center" vertical="center" wrapText="1"/>
    </xf>
    <xf numFmtId="1" fontId="34" fillId="32" borderId="19" xfId="0" applyNumberFormat="1" applyFont="1" applyFill="1" applyBorder="1" applyAlignment="1">
      <alignment horizontal="center" vertical="center" wrapText="1"/>
    </xf>
    <xf numFmtId="169" fontId="34" fillId="42" borderId="8" xfId="0" applyNumberFormat="1" applyFont="1" applyFill="1" applyBorder="1" applyAlignment="1">
      <alignment horizontal="right" vertical="center" wrapText="1"/>
    </xf>
    <xf numFmtId="169" fontId="35" fillId="42" borderId="4" xfId="0" applyNumberFormat="1" applyFont="1" applyFill="1" applyBorder="1" applyAlignment="1">
      <alignment horizontal="center" vertical="center" wrapText="1"/>
    </xf>
    <xf numFmtId="9" fontId="35" fillId="42" borderId="10" xfId="0" applyNumberFormat="1" applyFont="1" applyFill="1" applyBorder="1" applyAlignment="1">
      <alignment horizontal="center" vertical="center" wrapText="1"/>
    </xf>
    <xf numFmtId="9" fontId="35" fillId="42" borderId="8" xfId="0" applyNumberFormat="1" applyFont="1" applyFill="1" applyBorder="1" applyAlignment="1">
      <alignment horizontal="center" vertical="center" wrapText="1"/>
    </xf>
    <xf numFmtId="9" fontId="35" fillId="37" borderId="8" xfId="0" applyNumberFormat="1" applyFont="1" applyFill="1" applyBorder="1" applyAlignment="1">
      <alignment horizontal="center" vertical="center" wrapText="1"/>
    </xf>
    <xf numFmtId="9" fontId="35" fillId="43" borderId="8" xfId="0" applyNumberFormat="1" applyFont="1" applyFill="1" applyBorder="1" applyAlignment="1">
      <alignment horizontal="center" vertical="center" wrapText="1"/>
    </xf>
    <xf numFmtId="9" fontId="35" fillId="37" borderId="9" xfId="0" applyNumberFormat="1" applyFont="1" applyFill="1" applyBorder="1" applyAlignment="1">
      <alignment horizontal="center" vertical="center" wrapText="1"/>
    </xf>
    <xf numFmtId="3" fontId="37" fillId="0" borderId="8" xfId="0" applyNumberFormat="1" applyFont="1" applyBorder="1" applyAlignment="1">
      <alignment horizontal="center" vertical="center" wrapText="1"/>
    </xf>
    <xf numFmtId="164" fontId="35" fillId="42" borderId="10" xfId="32" applyNumberFormat="1" applyFont="1" applyFill="1" applyBorder="1" applyAlignment="1">
      <alignment horizontal="center" vertical="center" wrapText="1"/>
    </xf>
    <xf numFmtId="164" fontId="34" fillId="42" borderId="4" xfId="0" applyNumberFormat="1" applyFont="1" applyFill="1" applyBorder="1" applyAlignment="1">
      <alignment horizontal="center" vertical="center" wrapText="1"/>
    </xf>
    <xf numFmtId="164" fontId="35" fillId="42" borderId="8" xfId="32" applyNumberFormat="1" applyFont="1" applyFill="1" applyBorder="1" applyAlignment="1">
      <alignment horizontal="center" vertical="center" wrapText="1"/>
    </xf>
    <xf numFmtId="164" fontId="35" fillId="42" borderId="9" xfId="32" applyNumberFormat="1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8" fillId="0" borderId="3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/>
    </xf>
    <xf numFmtId="3" fontId="18" fillId="0" borderId="3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 wrapText="1"/>
    </xf>
    <xf numFmtId="3" fontId="22" fillId="0" borderId="29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41" fillId="0" borderId="29" xfId="0" applyNumberFormat="1" applyFont="1" applyBorder="1" applyAlignment="1">
      <alignment horizontal="center"/>
    </xf>
    <xf numFmtId="3" fontId="41" fillId="0" borderId="35" xfId="0" applyNumberFormat="1" applyFont="1" applyBorder="1" applyAlignment="1">
      <alignment horizontal="center"/>
    </xf>
    <xf numFmtId="3" fontId="41" fillId="0" borderId="36" xfId="0" applyNumberFormat="1" applyFont="1" applyBorder="1" applyAlignment="1">
      <alignment horizontal="center"/>
    </xf>
    <xf numFmtId="3" fontId="41" fillId="0" borderId="3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elda vinculada" xfId="19" builtinId="24" customBuiltin="1"/>
    <cellStyle name="Encabezado 4" xfId="20" builtinId="19" customBuiltin="1"/>
    <cellStyle name="Énfasis1" xfId="21" builtinId="29" customBuiltin="1"/>
    <cellStyle name="Énfasis2" xfId="22" builtinId="33" customBuiltin="1"/>
    <cellStyle name="Énfasis3" xfId="23" builtinId="37" customBuiltin="1"/>
    <cellStyle name="Énfasis4" xfId="24" builtinId="41" customBuiltin="1"/>
    <cellStyle name="Énfasis5" xfId="25" builtinId="45" customBuiltin="1"/>
    <cellStyle name="Énfasis6" xfId="26" builtinId="49" customBuiltin="1"/>
    <cellStyle name="Entrada" xfId="27" builtinId="20" customBuiltin="1"/>
    <cellStyle name="Incorrecto" xfId="28" builtinId="27" customBuiltin="1"/>
    <cellStyle name="Millares" xfId="40" builtinId="3"/>
    <cellStyle name="Millares [0] 3" xfId="42"/>
    <cellStyle name="Millares 2" xfId="29"/>
    <cellStyle name="Millares 3" xfId="30"/>
    <cellStyle name="Millares 7" xfId="31"/>
    <cellStyle name="Moneda" xfId="32" builtinId="4"/>
    <cellStyle name="Moneda 2" xfId="43"/>
    <cellStyle name="Neutral" xfId="33" builtinId="28" customBuiltin="1"/>
    <cellStyle name="Normal" xfId="0" builtinId="0"/>
    <cellStyle name="Normal 3" xfId="34"/>
    <cellStyle name="Normal 7" xfId="35"/>
    <cellStyle name="Porcentaje" xfId="41" builtinId="5"/>
    <cellStyle name="Porcentaje 2 2" xfId="36"/>
    <cellStyle name="Salida" xfId="37" builtinId="21" customBuiltin="1"/>
    <cellStyle name="Título" xfId="38" builtinId="15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D050"/>
      <color rgb="FF9BBF57"/>
      <color rgb="FFE06B0A"/>
      <color rgb="FFC96009"/>
      <color rgb="FFFFFF99"/>
      <color rgb="FFC0D79B"/>
      <color rgb="FF9B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externalLink" Target="externalLinks/externalLink14.xml"/><Relationship Id="rId47" Type="http://schemas.openxmlformats.org/officeDocument/2006/relationships/externalLink" Target="externalLinks/externalLink19.xml"/><Relationship Id="rId50" Type="http://schemas.openxmlformats.org/officeDocument/2006/relationships/externalLink" Target="externalLinks/externalLink22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externalLink" Target="externalLinks/externalLink10.xml"/><Relationship Id="rId46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externalLink" Target="externalLinks/externalLink13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externalLink" Target="externalLinks/externalLink12.xml"/><Relationship Id="rId45" Type="http://schemas.openxmlformats.org/officeDocument/2006/relationships/externalLink" Target="externalLinks/externalLink17.xml"/><Relationship Id="rId53" Type="http://schemas.openxmlformats.org/officeDocument/2006/relationships/externalLink" Target="externalLinks/externalLink2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49" Type="http://schemas.openxmlformats.org/officeDocument/2006/relationships/externalLink" Target="externalLinks/externalLink21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4" Type="http://schemas.openxmlformats.org/officeDocument/2006/relationships/externalLink" Target="externalLinks/externalLink16.xml"/><Relationship Id="rId52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43" Type="http://schemas.openxmlformats.org/officeDocument/2006/relationships/externalLink" Target="externalLinks/externalLink15.xml"/><Relationship Id="rId48" Type="http://schemas.openxmlformats.org/officeDocument/2006/relationships/externalLink" Target="externalLinks/externalLink20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3.xml"/><Relationship Id="rId3" Type="http://schemas.openxmlformats.org/officeDocument/2006/relationships/worksheet" Target="worksheets/sheet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POR DEPENDENCIAS/ENTIDADES</a:t>
            </a:r>
          </a:p>
        </c:rich>
      </c:tx>
      <c:layout>
        <c:manualLayout>
          <c:xMode val="edge"/>
          <c:yMode val="edge"/>
          <c:x val="0.22415001180679944"/>
          <c:y val="4.97727984149206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95146116502E-2"/>
          <c:y val="0.22094877996648263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 CONSOLIDADO GENERAL'!$E$31:$G$31</c:f>
              <c:strCache>
                <c:ptCount val="1"/>
                <c:pt idx="0">
                  <c:v>EJECUCIÓN POR DEPENDENCIAS/ENTIDADES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31-429D-8968-E40EA628125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31-429D-8968-E40EA628125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B31-429D-8968-E40EA6281257}"/>
              </c:ext>
            </c:extLst>
          </c:dPt>
          <c:dLbls>
            <c:dLbl>
              <c:idx val="0"/>
              <c:layout>
                <c:manualLayout>
                  <c:x val="6.3613188976377952E-2"/>
                  <c:y val="9.68503937007873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31-429D-8968-E40EA6281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63385826771657E-2"/>
                  <c:y val="3.45946340040828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31-429D-8968-E40EA6281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605205599300081E-2"/>
                  <c:y val="-1.80125400991542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B31-429D-8968-E40EA6281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GENERAL'!$E$33:$E$35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 CONSOLIDADO GENERAL'!$G$33:$G$35</c:f>
              <c:numCache>
                <c:formatCode>0.00%</c:formatCode>
                <c:ptCount val="3"/>
                <c:pt idx="0">
                  <c:v>0.52173913043478259</c:v>
                </c:pt>
                <c:pt idx="1">
                  <c:v>0.2608695652173913</c:v>
                </c:pt>
                <c:pt idx="2">
                  <c:v>0.21739130434782608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B31-429D-8968-E40EA628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37143457343667"/>
          <c:y val="0.84077285230578369"/>
          <c:w val="0.67037481906055729"/>
          <c:h val="0.112933463130050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05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E4-48DA-BBCC-D45C93786AF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E4-48DA-BBCC-D45C93786AF8}"/>
              </c:ext>
            </c:extLst>
          </c:dPt>
          <c:dLbls>
            <c:dLbl>
              <c:idx val="0"/>
              <c:layout>
                <c:manualLayout>
                  <c:x val="6.5141628628314838E-3"/>
                  <c:y val="-0.26193179372951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E4-48DA-BBCC-D45C93786AF8}"/>
                </c:ext>
                <c:ext xmlns:c15="http://schemas.microsoft.com/office/drawing/2012/chart" uri="{CE6537A1-D6FC-4f65-9D91-7224C49458BB}">
                  <c15:layout>
                    <c:manualLayout>
                      <c:w val="0.2635378498479769"/>
                      <c:h val="9.7320044296788463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6112315168524726E-2"/>
                  <c:y val="-0.163302029106826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E4-48DA-BBCC-D45C93786AF8}"/>
                </c:ext>
                <c:ext xmlns:c15="http://schemas.microsoft.com/office/drawing/2012/chart" uri="{CE6537A1-D6FC-4f65-9D91-7224C49458BB}">
                  <c15:layout>
                    <c:manualLayout>
                      <c:w val="0.23301639770276236"/>
                      <c:h val="0.10617940199335549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'2.1 GOBIERNO Y CONVIVENCIA'!$E$29:$F$29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'2.1 GOBIERNO Y CONVIVENCIA'!$E$30:$F$30</c:f>
              <c:numCache>
                <c:formatCode>[$$-240A]\ #,##0.00</c:formatCode>
                <c:ptCount val="2"/>
                <c:pt idx="0">
                  <c:v>17662222620.09</c:v>
                </c:pt>
                <c:pt idx="1">
                  <c:v>8767101876.1800003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E4-48DA-BBCC-D45C9378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12216"/>
        <c:axId val="148912608"/>
        <c:axId val="0"/>
      </c:bar3DChart>
      <c:catAx>
        <c:axId val="14891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8912608"/>
        <c:crosses val="autoZero"/>
        <c:auto val="1"/>
        <c:lblAlgn val="ctr"/>
        <c:lblOffset val="100"/>
        <c:noMultiLvlLbl val="0"/>
      </c:catAx>
      <c:valAx>
        <c:axId val="148912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8912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5F-41B0-9AAA-EF40EB20D7F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5F-41B0-9AAA-EF40EB20D7F7}"/>
              </c:ext>
            </c:extLst>
          </c:dPt>
          <c:dLbls>
            <c:dLbl>
              <c:idx val="0"/>
              <c:layout>
                <c:manualLayout>
                  <c:x val="8.5277443260769192E-3"/>
                  <c:y val="-0.36974533280953759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5F-41B0-9AAA-EF40EB20D7F7}"/>
                </c:ext>
                <c:ext xmlns:c15="http://schemas.microsoft.com/office/drawing/2012/chart" uri="{CE6537A1-D6FC-4f65-9D91-7224C49458BB}">
                  <c15:layout>
                    <c:manualLayout>
                      <c:w val="0.23962352941176471"/>
                      <c:h val="8.459869848156181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1.2959240389069017E-2"/>
                  <c:y val="-0.1471371718448426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5F-41B0-9AAA-EF40EB20D7F7}"/>
                </c:ext>
                <c:ext xmlns:c15="http://schemas.microsoft.com/office/drawing/2012/chart" uri="{CE6537A1-D6FC-4f65-9D91-7224C49458BB}">
                  <c15:layout>
                    <c:manualLayout>
                      <c:w val="0.20668235294117643"/>
                      <c:h val="7.3752711496746198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'2.2 DESARROLLO SOCIAL'!$E$33:$F$33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'2.2 DESARROLLO SOCIAL'!$E$34:$F$34</c:f>
              <c:numCache>
                <c:formatCode>[$$-240A]\ #,##0.00</c:formatCode>
                <c:ptCount val="2"/>
                <c:pt idx="0">
                  <c:v>11805775522</c:v>
                </c:pt>
                <c:pt idx="1">
                  <c:v>6143847938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5F-41B0-9AAA-EF40EB20D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13392"/>
        <c:axId val="197242992"/>
        <c:axId val="0"/>
      </c:bar3DChart>
      <c:catAx>
        <c:axId val="14891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197242992"/>
        <c:crosses val="autoZero"/>
        <c:auto val="1"/>
        <c:lblAlgn val="ctr"/>
        <c:lblOffset val="100"/>
        <c:noMultiLvlLbl val="0"/>
      </c:catAx>
      <c:valAx>
        <c:axId val="1972429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891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SECRETARÍA DE DESARROLLO SOCIAL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3751312335958005"/>
          <c:w val="0.85555555555555551"/>
          <c:h val="0.5878740157480314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A2-45AE-BE70-4C7B3AEBE66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EA2-45AE-BE70-4C7B3AEBE66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EA2-45AE-BE70-4C7B3AEBE66C}"/>
              </c:ext>
            </c:extLst>
          </c:dPt>
          <c:dLbls>
            <c:dLbl>
              <c:idx val="1"/>
              <c:layout>
                <c:manualLayout>
                  <c:x val="-6.7925415573053372E-2"/>
                  <c:y val="-2.49562554680664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EA2-45AE-BE70-4C7B3AEBE6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416185476815397"/>
                  <c:y val="7.451151939340915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EA2-45AE-BE70-4C7B3AEBE6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'2.2 DESARROLLO SOCIAL'!$E$27:$E$29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'2.2 DESARROLLO SOCIAL'!$G$27:$G$29</c:f>
              <c:numCache>
                <c:formatCode>0.00%</c:formatCode>
                <c:ptCount val="3"/>
                <c:pt idx="0">
                  <c:v>0.84074074074074079</c:v>
                </c:pt>
                <c:pt idx="1">
                  <c:v>2.9629629629629631E-2</c:v>
                </c:pt>
                <c:pt idx="2">
                  <c:v>0.12962962962962962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EA2-45AE-BE70-4C7B3AEB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077967526786421"/>
          <c:y val="0.87804878048780488"/>
          <c:w val="0.58008771630818878"/>
          <c:h val="9.75609756097560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1.3385826771653544" l="0.31496062992125984" r="0.31496062992125984" t="0.74803149606299213" header="0.31496062992125984" footer="0.31496062992125984"/>
    <c:pageSetup paperSize="5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SECRETARIA DE SALUD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6529090113735782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2C-4245-9EDF-36A1D8C348B1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2C-4245-9EDF-36A1D8C348B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22C-4245-9EDF-36A1D8C348B1}"/>
              </c:ext>
            </c:extLst>
          </c:dPt>
          <c:dLbls>
            <c:dLbl>
              <c:idx val="1"/>
              <c:layout>
                <c:manualLayout>
                  <c:x val="-0.14870800524934383"/>
                  <c:y val="-1.616396908719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2C-4245-9EDF-36A1D8C348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6225021872265969"/>
                  <c:y val="-4.34747739865850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22C-4245-9EDF-36A1D8C348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'2.3 SALUD'!$E$32:$E$34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'2.3 SALUD'!$G$32:$G$34</c:f>
              <c:numCache>
                <c:formatCode>0.00%</c:formatCode>
                <c:ptCount val="3"/>
                <c:pt idx="0">
                  <c:v>0.98130841121495327</c:v>
                </c:pt>
                <c:pt idx="1">
                  <c:v>0</c:v>
                </c:pt>
                <c:pt idx="2">
                  <c:v>1.8691588785046728E-2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22C-4245-9EDF-36A1D8C348B1}"/>
            </c:ext>
          </c:extLst>
        </c:ser>
        <c:ser>
          <c:idx val="1"/>
          <c:order val="1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22C-4245-9EDF-36A1D8C348B1}"/>
              </c:ext>
            </c:extLst>
          </c:dPt>
          <c:cat>
            <c:strRef>
              <c:f>'2.3 SALUD'!$E$32:$E$34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'2.3 SALUD'!$F$32</c:f>
              <c:numCache>
                <c:formatCode>#,##0</c:formatCode>
                <c:ptCount val="1"/>
                <c:pt idx="0">
                  <c:v>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22C-4245-9EDF-36A1D8C34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5222695084339841E-2"/>
          <c:y val="0.83677426083328987"/>
          <c:w val="0.745548052903522"/>
          <c:h val="0.163225739166710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40-4DF8-A565-67A1F727508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40-4DF8-A565-67A1F7275089}"/>
              </c:ext>
            </c:extLst>
          </c:dPt>
          <c:dLbls>
            <c:dLbl>
              <c:idx val="0"/>
              <c:layout>
                <c:manualLayout>
                  <c:x val="7.2542417174377649E-2"/>
                  <c:y val="-0.389127329388035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640-4DF8-A565-67A1F7275089}"/>
                </c:ext>
                <c:ext xmlns:c15="http://schemas.microsoft.com/office/drawing/2012/chart" uri="{CE6537A1-D6FC-4f65-9D91-7224C49458BB}">
                  <c15:layout>
                    <c:manualLayout>
                      <c:w val="0.24254364943512496"/>
                      <c:h val="7.571829973535464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2195535054685587E-2"/>
                  <c:y val="-0.20262734015094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640-4DF8-A565-67A1F7275089}"/>
                </c:ext>
                <c:ext xmlns:c15="http://schemas.microsoft.com/office/drawing/2012/chart" uri="{CE6537A1-D6FC-4f65-9D91-7224C49458BB}">
                  <c15:layout>
                    <c:manualLayout>
                      <c:w val="0.20609830807762303"/>
                      <c:h val="8.1701244813277993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'2.3 SALUD'!$E$38:$F$38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'2.3 SALUD'!$E$39:$F$39</c:f>
              <c:numCache>
                <c:formatCode>[$$-240A]\ #,##0.00</c:formatCode>
                <c:ptCount val="2"/>
                <c:pt idx="0">
                  <c:v>147432419366.92001</c:v>
                </c:pt>
                <c:pt idx="1">
                  <c:v>145176658433.88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640-4DF8-A565-67A1F7275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244560"/>
        <c:axId val="197244952"/>
        <c:axId val="0"/>
      </c:bar3DChart>
      <c:catAx>
        <c:axId val="19724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7244952"/>
        <c:crosses val="autoZero"/>
        <c:auto val="1"/>
        <c:lblAlgn val="ctr"/>
        <c:lblOffset val="100"/>
        <c:noMultiLvlLbl val="0"/>
      </c:catAx>
      <c:valAx>
        <c:axId val="197244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724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9A-4556-ADB4-A7934260D1A8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9A-4556-ADB4-A7934260D1A8}"/>
              </c:ext>
            </c:extLst>
          </c:dPt>
          <c:dLbls>
            <c:dLbl>
              <c:idx val="0"/>
              <c:layout>
                <c:manualLayout>
                  <c:x val="2.8815574489296648E-2"/>
                  <c:y val="-5.9785917380011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B9A-4556-ADB4-A7934260D1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752868523321952E-2"/>
                  <c:y val="-7.0753709933062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B9A-4556-ADB4-A7934260D1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'2.4 DESARROLLO ECONOMICO'!$E$19:$F$19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'2.4 DESARROLLO ECONOMICO'!$E$20:$F$20</c:f>
              <c:numCache>
                <c:formatCode>[$$-240A]\ #,##0.00</c:formatCode>
                <c:ptCount val="2"/>
                <c:pt idx="0">
                  <c:v>4844769960</c:v>
                </c:pt>
                <c:pt idx="1">
                  <c:v>3000545960.8199997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9A-4556-ADB4-A7934260D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245736"/>
        <c:axId val="197246128"/>
        <c:axId val="0"/>
      </c:bar3DChart>
      <c:catAx>
        <c:axId val="19724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197246128"/>
        <c:crosses val="autoZero"/>
        <c:auto val="1"/>
        <c:lblAlgn val="ctr"/>
        <c:lblOffset val="100"/>
        <c:noMultiLvlLbl val="0"/>
      </c:catAx>
      <c:valAx>
        <c:axId val="1972461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724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DESARROLLO ECONÓMICO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983543177555746E-2"/>
          <c:y val="0.21084123870181756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97-445D-A4D4-5D414642086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97-445D-A4D4-5D414642086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97-445D-A4D4-5D4146420867}"/>
              </c:ext>
            </c:extLst>
          </c:dPt>
          <c:dLbls>
            <c:dLbl>
              <c:idx val="1"/>
              <c:layout>
                <c:manualLayout>
                  <c:x val="-7.0118547681539814E-2"/>
                  <c:y val="-5.75025517643627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97-445D-A4D4-5D4146420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288762006843386"/>
                  <c:y val="2.19810596494137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897-445D-A4D4-5D4146420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'2.4 DESARROLLO ECONOMICO'!$E$13:$E$15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'2.4 DESARROLLO ECONOMICO'!$G$13:$G$15</c:f>
              <c:numCache>
                <c:formatCode>0.00%</c:formatCode>
                <c:ptCount val="3"/>
                <c:pt idx="0">
                  <c:v>0.95121951219512191</c:v>
                </c:pt>
                <c:pt idx="1">
                  <c:v>0</c:v>
                </c:pt>
                <c:pt idx="2">
                  <c:v>4.878048780487805E-2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897-445D-A4D4-5D4146420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787234042553192"/>
          <c:y val="0.87931034482758619"/>
          <c:w val="0.58085106382978724"/>
          <c:h val="8.965517241379306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EDUCACIÓN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38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48935957292353E-2"/>
          <c:y val="0.22115899340042247"/>
          <c:w val="0.83583924838810164"/>
          <c:h val="0.625228951546242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92-4C28-A4A7-D03D9D00E572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92-4C28-A4A7-D03D9D00E572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92-4C28-A4A7-D03D9D00E57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392-4C28-A4A7-D03D9D00E5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550679472067035E-2"/>
                  <c:y val="-1.93683823818833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392-4C28-A4A7-D03D9D00E5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519327979171547"/>
                  <c:y val="-4.88762349607043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392-4C28-A4A7-D03D9D00E57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 EDUCACION'!$E$47:$E$49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'2.5 EDUCACION'!$G$47:$G$49</c:f>
              <c:numCache>
                <c:formatCode>0.00%</c:formatCode>
                <c:ptCount val="3"/>
                <c:pt idx="0">
                  <c:v>0.73170731707317072</c:v>
                </c:pt>
                <c:pt idx="1">
                  <c:v>0.12195121951219512</c:v>
                </c:pt>
                <c:pt idx="2">
                  <c:v>0.14634146341463414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392-4C28-A4A7-D03D9D00E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666728113835268"/>
          <c:y val="0.89583583302087244"/>
          <c:w val="0.55625102046190711"/>
          <c:h val="8.333364579427571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B3-4F6B-B2A4-DF539CE813B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B3-4F6B-B2A4-DF539CE813B5}"/>
              </c:ext>
            </c:extLst>
          </c:dPt>
          <c:dLbls>
            <c:dLbl>
              <c:idx val="0"/>
              <c:layout>
                <c:manualLayout>
                  <c:x val="7.1409094930549408E-2"/>
                  <c:y val="-0.38645330102967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B3-4F6B-B2A4-DF539CE813B5}"/>
                </c:ext>
                <c:ext xmlns:c15="http://schemas.microsoft.com/office/drawing/2012/chart" uri="{CE6537A1-D6FC-4f65-9D91-7224C49458BB}">
                  <c15:layout>
                    <c:manualLayout>
                      <c:w val="0.21588764044943817"/>
                      <c:h val="8.89846153846153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5272582500221179E-2"/>
                  <c:y val="-0.17855683424187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B3-4F6B-B2A4-DF539CE813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'2.5 EDUCACION'!$E$53:$F$53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'2.5 EDUCACION'!$E$54:$F$54</c:f>
              <c:numCache>
                <c:formatCode>[$$-240A]\ #,##0.00</c:formatCode>
                <c:ptCount val="2"/>
                <c:pt idx="0">
                  <c:v>168926168432.71997</c:v>
                </c:pt>
                <c:pt idx="1">
                  <c:v>160492358456.98001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B3-4F6B-B2A4-DF539CE81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247696"/>
        <c:axId val="197248088"/>
        <c:axId val="0"/>
      </c:bar3DChart>
      <c:catAx>
        <c:axId val="19724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7248088"/>
        <c:crosses val="autoZero"/>
        <c:auto val="1"/>
        <c:lblAlgn val="ctr"/>
        <c:lblOffset val="100"/>
        <c:noMultiLvlLbl val="0"/>
      </c:catAx>
      <c:valAx>
        <c:axId val="1972480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724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INFRAESTRUCTURA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722222222222227E-2"/>
          <c:y val="0.27917979002624671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505-460E-B253-D06EDC8D3A6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505-460E-B253-D06EDC8D3A6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505-460E-B253-D06EDC8D3A6E}"/>
              </c:ext>
            </c:extLst>
          </c:dPt>
          <c:dLbls>
            <c:dLbl>
              <c:idx val="0"/>
              <c:layout>
                <c:manualLayout>
                  <c:x val="-0.12040229687446274"/>
                  <c:y val="-0.1024343109259756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05-460E-B253-D06EDC8D3A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763998250218722"/>
                  <c:y val="-2.50951443569553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05-460E-B253-D06EDC8D3A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840179352580928"/>
                  <c:y val="-2.27803295421405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05-460E-B253-D06EDC8D3A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 INFRAESTRUCTURA'!$E$27:$E$29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'2.6 INFRAESTRUCTURA'!$G$27:$G$29</c:f>
              <c:numCache>
                <c:formatCode>0.00%</c:formatCode>
                <c:ptCount val="3"/>
                <c:pt idx="0">
                  <c:v>0.51764705882352946</c:v>
                </c:pt>
                <c:pt idx="1">
                  <c:v>3.5294117647058823E-2</c:v>
                </c:pt>
                <c:pt idx="2">
                  <c:v>0.44705882352941179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05-460E-B253-D06EDC8D3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213973799126638"/>
          <c:y val="0.87043328886214799"/>
          <c:w val="0.62008733624454149"/>
          <c:h val="0.11295715942483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D2-4F2A-A505-EB67CA41459E}"/>
              </c:ext>
            </c:extLst>
          </c:dPt>
          <c:dLbls>
            <c:dLbl>
              <c:idx val="0"/>
              <c:layout>
                <c:manualLayout>
                  <c:x val="0.140547480234851"/>
                  <c:y val="-0.356080549995848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D2-4F2A-A505-EB67CA4145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689616573188212E-2"/>
                  <c:y val="-0.22823774691177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3D2-4F2A-A505-EB67CA4145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CONSOLIDADO GENERAL'!$E$48:$F$48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 CONSOLIDADO GENERAL'!$E$49:$F$49</c:f>
              <c:numCache>
                <c:formatCode>[$$-240A]\ #,##0.00</c:formatCode>
                <c:ptCount val="2"/>
                <c:pt idx="0">
                  <c:v>539652165451.41992</c:v>
                </c:pt>
                <c:pt idx="1">
                  <c:v>439145433269.14008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D2-4F2A-A505-EB67CA414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06728"/>
        <c:axId val="148907120"/>
        <c:axId val="0"/>
      </c:bar3DChart>
      <c:catAx>
        <c:axId val="14890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148907120"/>
        <c:crosses val="autoZero"/>
        <c:auto val="1"/>
        <c:lblAlgn val="ctr"/>
        <c:lblOffset val="100"/>
        <c:noMultiLvlLbl val="0"/>
      </c:catAx>
      <c:valAx>
        <c:axId val="1489071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8906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FD-4A9B-8DD5-BB3EEDD24B5B}"/>
              </c:ext>
            </c:extLst>
          </c:dPt>
          <c:dLbls>
            <c:dLbl>
              <c:idx val="0"/>
              <c:layout>
                <c:manualLayout>
                  <c:x val="3.0394790616570896E-2"/>
                  <c:y val="-5.439189632545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FD-4A9B-8DD5-BB3EEDD24B5B}"/>
                </c:ext>
                <c:ext xmlns:c15="http://schemas.microsoft.com/office/drawing/2012/chart" uri="{CE6537A1-D6FC-4f65-9D91-7224C49458BB}">
                  <c15:layout>
                    <c:manualLayout>
                      <c:w val="0.23313716408286334"/>
                      <c:h val="6.95416666666666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8003523780980748E-2"/>
                  <c:y val="-7.6175853018372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FD-4A9B-8DD5-BB3EEDD24B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'2.6 INFRAESTRUCTURA'!$E$33:$F$33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'2.6 INFRAESTRUCTURA'!$E$34:$F$34</c:f>
              <c:numCache>
                <c:formatCode>[$$-240A]\ #,##0.00</c:formatCode>
                <c:ptCount val="2"/>
                <c:pt idx="0">
                  <c:v>59345136446</c:v>
                </c:pt>
                <c:pt idx="1">
                  <c:v>28494678114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FD-4A9B-8DD5-BB3EEDD24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249264"/>
        <c:axId val="197249656"/>
        <c:axId val="0"/>
      </c:bar3DChart>
      <c:catAx>
        <c:axId val="19724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7249656"/>
        <c:crosses val="autoZero"/>
        <c:auto val="1"/>
        <c:lblAlgn val="ctr"/>
        <c:lblOffset val="100"/>
        <c:noMultiLvlLbl val="0"/>
      </c:catAx>
      <c:valAx>
        <c:axId val="197249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724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63-4C69-BEFC-7A0D50AC3803}"/>
              </c:ext>
            </c:extLst>
          </c:dPt>
          <c:dLbls>
            <c:dLbl>
              <c:idx val="0"/>
              <c:layout>
                <c:manualLayout>
                  <c:x val="-5.4442194725659337E-2"/>
                  <c:y val="6.054314304461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63-4C69-BEFC-7A0D50AC3803}"/>
                </c:ext>
                <c:ext xmlns:c15="http://schemas.microsoft.com/office/drawing/2012/chart" uri="{CE6537A1-D6FC-4f65-9D91-7224C49458BB}">
                  <c15:layout>
                    <c:manualLayout>
                      <c:w val="0.2338031746031746"/>
                      <c:h val="6.954166666666665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4681514810648574E-2"/>
                  <c:y val="-5.2792979002624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63-4C69-BEFC-7A0D50AC380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'2.7 TRANSITO'!$E$19:$F$19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'2.7 TRANSITO'!$E$20:$F$20</c:f>
              <c:numCache>
                <c:formatCode>[$$-240A]\ #,##0.00</c:formatCode>
                <c:ptCount val="2"/>
                <c:pt idx="0">
                  <c:v>11069638531</c:v>
                </c:pt>
                <c:pt idx="1">
                  <c:v>7249431187.8800001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63-4C69-BEFC-7A0D50AC3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250440"/>
        <c:axId val="199711688"/>
        <c:axId val="0"/>
      </c:bar3DChart>
      <c:catAx>
        <c:axId val="19725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9711688"/>
        <c:crosses val="autoZero"/>
        <c:auto val="1"/>
        <c:lblAlgn val="ctr"/>
        <c:lblOffset val="100"/>
        <c:noMultiLvlLbl val="0"/>
      </c:catAx>
      <c:valAx>
        <c:axId val="199711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7250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DE TRÁNSITO Y TRANSPORTE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7455016039661712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50-4302-9021-B2EFD66B524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50-4302-9021-B2EFD66B524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50-4302-9021-B2EFD66B5248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50-4302-9021-B2EFD66B52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486220472440945"/>
                  <c:y val="-1.68544036162146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B50-4302-9021-B2EFD66B52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124890638670166"/>
                  <c:y val="-1.56969962088072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B50-4302-9021-B2EFD66B52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 TRANSITO'!$E$13:$E$15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'2.7 TRANSITO'!$G$13:$G$15</c:f>
              <c:numCache>
                <c:formatCode>0.00%</c:formatCode>
                <c:ptCount val="3"/>
                <c:pt idx="0">
                  <c:v>0.92307692307692313</c:v>
                </c:pt>
                <c:pt idx="1">
                  <c:v>0</c:v>
                </c:pt>
                <c:pt idx="2">
                  <c:v>7.6923076923076927E-2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50-4302-9021-B2EFD66B5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390023959423372"/>
          <c:y val="0.87000279965004379"/>
          <c:w val="0.63616694971952037"/>
          <c:h val="0.1200003499562555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A1-45CA-B329-DD1F757760B1}"/>
              </c:ext>
            </c:extLst>
          </c:dPt>
          <c:dLbls>
            <c:dLbl>
              <c:idx val="0"/>
              <c:layout>
                <c:manualLayout>
                  <c:x val="-1.596990039690457E-2"/>
                  <c:y val="-4.5218722659667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5A1-45CA-B329-DD1F757760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373082797650312E-2"/>
                  <c:y val="-6.2312739753684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A1-45CA-B329-DD1F757760B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'2.8 TICS'!$E$20:$F$20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'2.8 TICS'!$E$21:$F$21</c:f>
              <c:numCache>
                <c:formatCode>[$$-240A]\ #,##0.00</c:formatCode>
                <c:ptCount val="2"/>
                <c:pt idx="0">
                  <c:v>2607289450</c:v>
                </c:pt>
                <c:pt idx="1">
                  <c:v>1283141427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A1-45CA-B329-DD1F7577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712864"/>
        <c:axId val="199713256"/>
        <c:axId val="0"/>
      </c:bar3DChart>
      <c:catAx>
        <c:axId val="19971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9713256"/>
        <c:crosses val="autoZero"/>
        <c:auto val="1"/>
        <c:lblAlgn val="ctr"/>
        <c:lblOffset val="100"/>
        <c:noMultiLvlLbl val="0"/>
      </c:catAx>
      <c:valAx>
        <c:axId val="199713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9712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SECRETARÍA  TICS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7455016039661712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'2.8 TICS'!$G$14:$G$16</c:f>
              <c:strCache>
                <c:ptCount val="3"/>
                <c:pt idx="0">
                  <c:v>33,33%</c:v>
                </c:pt>
                <c:pt idx="1">
                  <c:v>8,33%</c:v>
                </c:pt>
                <c:pt idx="2">
                  <c:v>58,33%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3A-4BFA-BBAB-432193ECA45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E3A-4BFA-BBAB-432193ECA45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E3A-4BFA-BBAB-432193ECA45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E3A-4BFA-BBAB-432193ECA4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486220472440945"/>
                  <c:y val="-1.68544036162146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E3A-4BFA-BBAB-432193ECA4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124890638670166"/>
                  <c:y val="-1.56969962088072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E3A-4BFA-BBAB-432193ECA4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'2.8 TICS'!$E$14:$E$16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'2.8 TICS'!$G$14:$G$16</c:f>
              <c:numCache>
                <c:formatCode>0.00%</c:formatCode>
                <c:ptCount val="3"/>
                <c:pt idx="0">
                  <c:v>0.33333333333333331</c:v>
                </c:pt>
                <c:pt idx="1">
                  <c:v>8.3333333333333329E-2</c:v>
                </c:pt>
                <c:pt idx="2">
                  <c:v>0.58333333333333337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E3A-4BFA-BBAB-432193ECA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29243655300058"/>
          <c:y val="0.86222870703462384"/>
          <c:w val="0.61655910658226543"/>
          <c:h val="0.136667016622922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35986736338983516"/>
          <c:y val="2.73972602739726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7A-49D1-8E74-E7DA09A08AF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7A-49D1-8E74-E7DA09A08AF4}"/>
              </c:ext>
            </c:extLst>
          </c:dPt>
          <c:dLbls>
            <c:dLbl>
              <c:idx val="0"/>
              <c:layout>
                <c:manualLayout>
                  <c:x val="0.10397554555791053"/>
                  <c:y val="-1.8840909748928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7A-49D1-8E74-E7DA09A08AF4}"/>
                </c:ext>
                <c:ext xmlns:c15="http://schemas.microsoft.com/office/drawing/2012/chart" uri="{CE6537A1-D6FC-4f65-9D91-7224C49458BB}">
                  <c15:layout>
                    <c:manualLayout>
                      <c:w val="0.20990962393807558"/>
                      <c:h val="7.164383561643834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9.294043786155004E-2"/>
                  <c:y val="-9.4067735788439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7A-49D1-8E74-E7DA09A08AF4}"/>
                </c:ext>
                <c:ext xmlns:c15="http://schemas.microsoft.com/office/drawing/2012/chart" uri="{CE6537A1-D6FC-4f65-9D91-7224C49458BB}">
                  <c15:layout>
                    <c:manualLayout>
                      <c:w val="0.22919835574952291"/>
                      <c:h val="7.1643835616438348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'2.9 HACIENDA'!$E$18:$F$18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'2.9 HACIENDA'!$E$19:$F$19</c:f>
              <c:numCache>
                <c:formatCode>[$$-240A]\ #,##0.00</c:formatCode>
                <c:ptCount val="2"/>
                <c:pt idx="0">
                  <c:v>10053193763.110001</c:v>
                </c:pt>
                <c:pt idx="1">
                  <c:v>9446660427.1399994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A-49D1-8E74-E7DA09A08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714432"/>
        <c:axId val="199714824"/>
        <c:axId val="0"/>
      </c:bar3DChart>
      <c:catAx>
        <c:axId val="1997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199714824"/>
        <c:crosses val="autoZero"/>
        <c:auto val="1"/>
        <c:lblAlgn val="ctr"/>
        <c:lblOffset val="100"/>
        <c:noMultiLvlLbl val="0"/>
      </c:catAx>
      <c:valAx>
        <c:axId val="1997148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971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DEPARTAMENTO ADMINISTRATIVO DE HACIENDA </a:t>
            </a:r>
          </a:p>
        </c:rich>
      </c:tx>
      <c:layout>
        <c:manualLayout>
          <c:xMode val="edge"/>
          <c:yMode val="edge"/>
          <c:x val="0.18035216689990838"/>
          <c:y val="6.46868103424788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4872557596967041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4A-488B-9CC6-1178F9B6740D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4A-488B-9CC6-1178F9B6740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4A-488B-9CC6-1178F9B6740D}"/>
              </c:ext>
            </c:extLst>
          </c:dPt>
          <c:dLbls>
            <c:dLbl>
              <c:idx val="0"/>
              <c:layout>
                <c:manualLayout>
                  <c:x val="-4.0457458442694716E-2"/>
                  <c:y val="-0.260355788859725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4A-488B-9CC6-1178F9B67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878937007874014E-2"/>
                  <c:y val="-8.24114173228346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4A-488B-9CC6-1178F9B67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733552055992991"/>
                  <c:y val="-3.85870516185477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C4A-488B-9CC6-1178F9B674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'2.9 HACIENDA'!$E$12:$E$14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'2.9 HACIENDA'!$G$12:$G$14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C4A-488B-9CC6-1178F9B67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742358078602621"/>
          <c:y val="0.8866694663167104"/>
          <c:w val="0.58296943231441045"/>
          <c:h val="9.333368328958879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FE-48D6-92A3-91E7441CC9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9FE-48D6-92A3-91E7441CC94E}"/>
              </c:ext>
            </c:extLst>
          </c:dPt>
          <c:dLbls>
            <c:dLbl>
              <c:idx val="0"/>
              <c:layout>
                <c:manualLayout>
                  <c:x val="-9.4401142376369512E-2"/>
                  <c:y val="6.1403508771929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9FE-48D6-92A3-91E7441CC94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032602245136"/>
                  <c:y val="4.82456140350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9FE-48D6-92A3-91E7441CC94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'3.1 FORTALECIMIENTO INSTITUCION'!$E$18:$F$18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'3.1 FORTALECIMIENTO INSTITUCION'!$E$19:$F$19</c:f>
              <c:numCache>
                <c:formatCode>[$$-240A]\ #,##0.00</c:formatCode>
                <c:ptCount val="2"/>
                <c:pt idx="0">
                  <c:v>5141222655</c:v>
                </c:pt>
                <c:pt idx="1">
                  <c:v>4582204619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FE-48D6-92A3-91E7441CC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716000"/>
        <c:axId val="199716392"/>
        <c:axId val="0"/>
      </c:bar3DChart>
      <c:catAx>
        <c:axId val="19971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199716392"/>
        <c:crosses val="autoZero"/>
        <c:auto val="1"/>
        <c:lblAlgn val="ctr"/>
        <c:lblOffset val="100"/>
        <c:noMultiLvlLbl val="0"/>
      </c:catAx>
      <c:valAx>
        <c:axId val="199716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971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s-MX" sz="1100" b="1"/>
              <a:t>DEPARTAMENTO ADMINISTRATIVO DE FORTALECIMIENTO INSTITUCIONAL</a:t>
            </a:r>
          </a:p>
        </c:rich>
      </c:tx>
      <c:layout>
        <c:manualLayout>
          <c:xMode val="edge"/>
          <c:yMode val="edge"/>
          <c:x val="0.17488507714646612"/>
          <c:y val="3.829526259712585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'3.1 FORTALECIMIENTO INSTITUCION'!$E$12:$E$14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AB7-435D-8743-9A56C613141C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AB7-435D-8743-9A56C613141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AB7-435D-8743-9A56C613141C}"/>
              </c:ext>
            </c:extLst>
          </c:dPt>
          <c:dLbls>
            <c:dLbl>
              <c:idx val="0"/>
              <c:layout>
                <c:manualLayout>
                  <c:x val="0.19291244141708663"/>
                  <c:y val="2.8854759491697201E-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AB7-435D-8743-9A56C61314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2633415575676731"/>
                  <c:y val="-0.15179751045970738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AB7-435D-8743-9A56C61314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3506846019247595"/>
                  <c:y val="1.2164625255176436E-2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b="1"/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AB7-435D-8743-9A56C613141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 FORTALECIMIENTO INSTITUCION'!$E$12:$E$14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'3.1 FORTALECIMIENTO INSTITUCION'!$G$12:$G$14</c:f>
              <c:numCache>
                <c:formatCode>0.00%</c:formatCode>
                <c:ptCount val="3"/>
                <c:pt idx="0">
                  <c:v>0.72727272727272729</c:v>
                </c:pt>
                <c:pt idx="1">
                  <c:v>0.18181818181818182</c:v>
                </c:pt>
                <c:pt idx="2">
                  <c:v>9.0909090909090912E-2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AB7-435D-8743-9A56C6131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685589519650655"/>
          <c:y val="0.87619314252385117"/>
          <c:w val="0.55240174672489084"/>
          <c:h val="0.11428604757738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3D69B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5A-48DA-B9C1-AC3FC9B96D5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5A-48DA-B9C1-AC3FC9B96D50}"/>
              </c:ext>
            </c:extLst>
          </c:dPt>
          <c:dLbls>
            <c:dLbl>
              <c:idx val="0"/>
              <c:layout>
                <c:manualLayout>
                  <c:x val="-9.335491468091793E-2"/>
                  <c:y val="2.3543256377163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5A-48DA-B9C1-AC3FC9B96D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113449090432775"/>
                  <c:y val="-1.4125953826298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5A-48DA-B9C1-AC3FC9B96D5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'3.2 JURIDICA'!$E$17:$F$17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'3.2 JURIDICA'!$E$18:$F$18</c:f>
              <c:numCache>
                <c:formatCode>[$$-240A]\ #,##0.00</c:formatCode>
                <c:ptCount val="2"/>
                <c:pt idx="0">
                  <c:v>1334800000</c:v>
                </c:pt>
                <c:pt idx="1">
                  <c:v>1201800194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A5A-48DA-B9C1-AC3FC9B96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717568"/>
        <c:axId val="199717960"/>
        <c:axId val="0"/>
      </c:bar3DChart>
      <c:catAx>
        <c:axId val="19971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199717960"/>
        <c:crosses val="autoZero"/>
        <c:auto val="1"/>
        <c:lblAlgn val="ctr"/>
        <c:lblOffset val="100"/>
        <c:noMultiLvlLbl val="0"/>
      </c:catAx>
      <c:valAx>
        <c:axId val="1997179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9971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EJECUCIÓN POR ACTIVIDADES </a:t>
            </a:r>
          </a:p>
        </c:rich>
      </c:tx>
      <c:layout>
        <c:manualLayout>
          <c:xMode val="edge"/>
          <c:yMode val="edge"/>
          <c:x val="0.29383728598693615"/>
          <c:y val="2.361623433255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 CONSOLIDADO GENERAL'!$E$39:$G$39</c:f>
              <c:strCache>
                <c:ptCount val="1"/>
                <c:pt idx="0">
                  <c:v>EJECUCIÓN POR ACTIVIDADES </c:v>
                </c:pt>
              </c:strCache>
            </c:strRef>
          </c:tx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E8-4ED2-AF3A-4FB657BFB3D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E8-4ED2-AF3A-4FB657BFB3D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E8-4ED2-AF3A-4FB657BFB3D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CONSOLIDADO GENERAL'!$E$41:$E$43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 CONSOLIDADO GENERAL'!$G$41:$G$43</c:f>
              <c:numCache>
                <c:formatCode>0.00%</c:formatCode>
                <c:ptCount val="3"/>
                <c:pt idx="0">
                  <c:v>0.46705426356589147</c:v>
                </c:pt>
                <c:pt idx="1">
                  <c:v>4.0697674418604654E-2</c:v>
                </c:pt>
                <c:pt idx="2">
                  <c:v>0.13856589147286821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E8-4ED2-AF3A-4FB657BFB3D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05683944621682"/>
          <c:y val="0.90996264172065033"/>
          <c:w val="0.64816741664938327"/>
          <c:h val="6.6421123946799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JURÍDICO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8380941965587636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30-4777-905F-A43239F1C6F5}"/>
              </c:ext>
            </c:extLst>
          </c:dPt>
          <c:dPt>
            <c:idx val="1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130-4777-905F-A43239F1C6F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130-4777-905F-A43239F1C6F5}"/>
              </c:ext>
            </c:extLst>
          </c:dPt>
          <c:dLbls>
            <c:dLbl>
              <c:idx val="1"/>
              <c:layout>
                <c:manualLayout>
                  <c:x val="-0.21597331583552057"/>
                  <c:y val="-2.03266258384368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30-4777-905F-A43239F1C6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847112860892389"/>
                  <c:y val="-2.96551472732575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130-4777-905F-A43239F1C6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'3.2 JURIDICA'!$E$11:$E$13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'3.2 JURIDICA'!$G$11:$G$13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30-4777-905F-A43239F1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915078425654307"/>
          <c:y val="0.8882000619487781"/>
          <c:w val="0.58170049005312252"/>
          <c:h val="8.69565217391304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DEPARTAMENTO ADMINISTRATIVO DE BIENES Y SUMINISTROS</a:t>
            </a:r>
          </a:p>
        </c:rich>
      </c:tx>
      <c:layout>
        <c:manualLayout>
          <c:xMode val="edge"/>
          <c:yMode val="edge"/>
          <c:x val="0.16806159793406106"/>
          <c:y val="7.109829581161511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3020705745115192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2C-4AF2-AE07-918C64A65CE5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22C-4AF2-AE07-918C64A65CE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22C-4AF2-AE07-918C64A65CE5}"/>
              </c:ext>
            </c:extLst>
          </c:dPt>
          <c:dLbls>
            <c:dLbl>
              <c:idx val="1"/>
              <c:layout>
                <c:manualLayout>
                  <c:x val="-0.18715387139107612"/>
                  <c:y val="-8.807596967045786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2C-4AF2-AE07-918C64A65CE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506835083114612"/>
                  <c:y val="-7.057451151939340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22C-4AF2-AE07-918C64A65CE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'3.4 BIENES Y SUMINISTROS'!$E$13:$E$15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'3.4 BIENES Y SUMINISTROS'!$G$13:$G$15</c:f>
              <c:numCache>
                <c:formatCode>0.00%</c:formatCode>
                <c:ptCount val="3"/>
                <c:pt idx="0">
                  <c:v>0.66666666666666663</c:v>
                </c:pt>
                <c:pt idx="1">
                  <c:v>0</c:v>
                </c:pt>
                <c:pt idx="2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22C-4AF2-AE07-918C64A6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345490264421172"/>
          <c:y val="0.86470711749266627"/>
          <c:w val="0.61073717897938817"/>
          <c:h val="0.123529720549637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48697201017811703"/>
          <c:y val="3.418803418803419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D6-45DE-BA69-B916D20CC257}"/>
              </c:ext>
            </c:extLst>
          </c:dPt>
          <c:dLbls>
            <c:dLbl>
              <c:idx val="0"/>
              <c:layout>
                <c:manualLayout>
                  <c:x val="-9.4688545611187544E-4"/>
                  <c:y val="-0.36356450635978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D6-45DE-BA69-B916D20CC257}"/>
                </c:ext>
                <c:ext xmlns:c15="http://schemas.microsoft.com/office/drawing/2012/chart" uri="{CE6537A1-D6FC-4f65-9D91-7224C49458BB}">
                  <c15:layout>
                    <c:manualLayout>
                      <c:w val="0.24442748091603053"/>
                      <c:h val="8.414529914529912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5766664663100317E-2"/>
                  <c:y val="-0.14487213136819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D6-45DE-BA69-B916D20CC2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'3.4 BIENES Y SUMINISTROS'!$E$19:$F$19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'3.4 BIENES Y SUMINISTROS'!$E$20:$F$20</c:f>
              <c:numCache>
                <c:formatCode>[$$-240A]\ #,##0.00</c:formatCode>
                <c:ptCount val="2"/>
                <c:pt idx="0">
                  <c:v>821749999</c:v>
                </c:pt>
                <c:pt idx="1">
                  <c:v>768605522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D6-45DE-BA69-B916D20CC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314536"/>
        <c:axId val="200314928"/>
        <c:axId val="0"/>
      </c:bar3DChart>
      <c:catAx>
        <c:axId val="20031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0314928"/>
        <c:crosses val="autoZero"/>
        <c:auto val="1"/>
        <c:lblAlgn val="ctr"/>
        <c:lblOffset val="100"/>
        <c:noMultiLvlLbl val="0"/>
      </c:catAx>
      <c:valAx>
        <c:axId val="2003149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0314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FE-491E-8E57-E486198816AC}"/>
              </c:ext>
            </c:extLst>
          </c:dPt>
          <c:dLbls>
            <c:dLbl>
              <c:idx val="0"/>
              <c:layout>
                <c:manualLayout>
                  <c:x val="6.7601009144898111E-2"/>
                  <c:y val="-5.04714401865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FE-491E-8E57-E486198816AC}"/>
                </c:ext>
                <c:ext xmlns:c15="http://schemas.microsoft.com/office/drawing/2012/chart" uri="{CE6537A1-D6FC-4f65-9D91-7224C49458BB}">
                  <c15:layout>
                    <c:manualLayout>
                      <c:w val="0.23770114942528736"/>
                      <c:h val="6.732109414705124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0262768878028177E-2"/>
                  <c:y val="-6.4137791794593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FE-491E-8E57-E486198816AC}"/>
                </c:ext>
                <c:ext xmlns:c15="http://schemas.microsoft.com/office/drawing/2012/chart" uri="{CE6537A1-D6FC-4f65-9D91-7224C49458BB}">
                  <c15:layout>
                    <c:manualLayout>
                      <c:w val="0.23514687100893997"/>
                      <c:h val="8.0247568523430596E-2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'3.5 PLANEACION'!$E$37:$F$37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'3.5 PLANEACION'!$E$38:$F$38</c:f>
              <c:numCache>
                <c:formatCode>[$$-240A]\ #,##0.00</c:formatCode>
                <c:ptCount val="2"/>
                <c:pt idx="0">
                  <c:v>13352714768.73</c:v>
                </c:pt>
                <c:pt idx="1">
                  <c:v>8043101211.1499996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FE-491E-8E57-E4861988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315712"/>
        <c:axId val="200316104"/>
        <c:axId val="0"/>
      </c:bar3DChart>
      <c:catAx>
        <c:axId val="2003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0316104"/>
        <c:crosses val="autoZero"/>
        <c:auto val="1"/>
        <c:lblAlgn val="ctr"/>
        <c:lblOffset val="100"/>
        <c:noMultiLvlLbl val="0"/>
      </c:catAx>
      <c:valAx>
        <c:axId val="2003161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031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PLANEACIÓN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102274339169942E-2"/>
          <c:y val="0.25711626754620276"/>
          <c:w val="0.64712281127240301"/>
          <c:h val="0.63986775989284528"/>
        </c:manualLayout>
      </c:layout>
      <c:pie3DChart>
        <c:varyColors val="1"/>
        <c:ser>
          <c:idx val="0"/>
          <c:order val="0"/>
          <c:tx>
            <c:strRef>
              <c:f>'3.5 PLANEACION'!$E$31:$E$33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ACA-47A9-A4FA-E268766EFD94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ACA-47A9-A4FA-E268766EFD94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ACA-47A9-A4FA-E268766EFD9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ACA-47A9-A4FA-E268766EFD94}"/>
              </c:ext>
            </c:extLst>
          </c:dPt>
          <c:dLbls>
            <c:dLbl>
              <c:idx val="0"/>
              <c:layout>
                <c:manualLayout>
                  <c:x val="-0.15555205599300087"/>
                  <c:y val="-0.191308690580344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CA-47A9-A4FA-E268766EFD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650640425510936"/>
                  <c:y val="9.07756527466477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CA-47A9-A4FA-E268766EFD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5166229221347358E-2"/>
                  <c:y val="-4.89089384660250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ACA-47A9-A4FA-E268766EFD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'3.5 PLANEACION'!$E$31:$E$33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'3.5 PLANEACION'!$G$31:$G$33</c:f>
              <c:numCache>
                <c:formatCode>0.00%</c:formatCode>
                <c:ptCount val="3"/>
                <c:pt idx="0">
                  <c:v>0.68799999999999994</c:v>
                </c:pt>
                <c:pt idx="1">
                  <c:v>7.1999999999999995E-2</c:v>
                </c:pt>
                <c:pt idx="2">
                  <c:v>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ACA-47A9-A4FA-E268766EF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6908315565031986E-2"/>
          <c:y val="0.86725920387547994"/>
          <c:w val="0.57782583147255839"/>
          <c:h val="0.12389417198221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D1-4F55-AA2B-32CFCEB17BA3}"/>
              </c:ext>
            </c:extLst>
          </c:dPt>
          <c:dLbls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'3.6 CONTROL INTERNO'!$E$19:$F$19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'3.6 CONTROL INTERNO'!$E$20:$F$20</c:f>
              <c:numCache>
                <c:formatCode>"$"\ #,##0.00</c:formatCode>
                <c:ptCount val="2"/>
                <c:pt idx="0">
                  <c:v>580000000</c:v>
                </c:pt>
                <c:pt idx="1">
                  <c:v>559483334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D1-4F55-AA2B-32CFCEB17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317280"/>
        <c:axId val="200317672"/>
        <c:axId val="0"/>
      </c:bar3DChart>
      <c:catAx>
        <c:axId val="20031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0317672"/>
        <c:crosses val="autoZero"/>
        <c:auto val="1"/>
        <c:lblAlgn val="ctr"/>
        <c:lblOffset val="100"/>
        <c:noMultiLvlLbl val="0"/>
      </c:catAx>
      <c:valAx>
        <c:axId val="2003176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031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CONTROL INTERNO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99999999999994E-2"/>
          <c:y val="0.35798483522892971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E1-433F-91D5-30FFB6B0AF5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E1-433F-91D5-30FFB6B0AF5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E1-433F-91D5-30FFB6B0AF5B}"/>
              </c:ext>
            </c:extLst>
          </c:dPt>
          <c:dLbls>
            <c:dLbl>
              <c:idx val="0"/>
              <c:layout>
                <c:manualLayout>
                  <c:x val="2.3530355648775344E-4"/>
                  <c:y val="-9.42446194225721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E1-433F-91D5-30FFB6B0AF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263998250218725"/>
                  <c:y val="-1.6770559930008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E1-433F-91D5-30FFB6B0AF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556143909958803E-2"/>
                  <c:y val="-3.4131583552056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E1-433F-91D5-30FFB6B0AF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'3.6 CONTROL INTERNO'!$E$13:$E$15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'3.6 CONTROL INTERNO'!$G$13:$G$15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3E1-433F-91D5-30FFB6B0A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305676855895197"/>
          <c:y val="0.882943143812709"/>
          <c:w val="0.58296943231441045"/>
          <c:h val="9.36454849498328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DB-4EC3-B270-895B5BEB7BDF}"/>
              </c:ext>
            </c:extLst>
          </c:dPt>
          <c:dLbls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'3.6 CONTROL INTERNO'!$E$19:$F$19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'3.6 CONTROL INTERNO'!$E$20:$F$20</c:f>
              <c:numCache>
                <c:formatCode>"$"\ #,##0.00</c:formatCode>
                <c:ptCount val="2"/>
                <c:pt idx="0">
                  <c:v>580000000</c:v>
                </c:pt>
                <c:pt idx="1">
                  <c:v>559483334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DB-4EC3-B270-895B5BEB7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318848"/>
        <c:axId val="200319240"/>
        <c:axId val="0"/>
      </c:bar3DChart>
      <c:catAx>
        <c:axId val="2003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0319240"/>
        <c:crosses val="autoZero"/>
        <c:auto val="1"/>
        <c:lblAlgn val="ctr"/>
        <c:lblOffset val="100"/>
        <c:noMultiLvlLbl val="0"/>
      </c:catAx>
      <c:valAx>
        <c:axId val="2003192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031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DEPARTAMENTO ADMINISTRATIVO DE CONTROL INTERNO DISCIPLINARIO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499999999999994E-2"/>
          <c:y val="0.35798483522892971"/>
          <c:w val="0.81388888888888888"/>
          <c:h val="0.49086577719451735"/>
        </c:manualLayout>
      </c:layout>
      <c:pie3DChart>
        <c:varyColors val="1"/>
        <c:ser>
          <c:idx val="0"/>
          <c:order val="0"/>
          <c:tx>
            <c:strRef>
              <c:f>'3.7. DACID'!$E$10:$E$12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F41-4A23-89FD-CA6C3ECBAA8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F41-4A23-89FD-CA6C3ECBAA8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F41-4A23-89FD-CA6C3ECBAA8B}"/>
              </c:ext>
            </c:extLst>
          </c:dPt>
          <c:dLbls>
            <c:dLbl>
              <c:idx val="0"/>
              <c:layout>
                <c:manualLayout>
                  <c:x val="2.3530355648775344E-4"/>
                  <c:y val="-9.42446194225721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41-4A23-89FD-CA6C3ECBAA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263998250218725"/>
                  <c:y val="-1.6770559930008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41-4A23-89FD-CA6C3ECBAA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556143909958803E-2"/>
                  <c:y val="-3.41315835520560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41-4A23-89FD-CA6C3ECBAA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'3.7. DACID'!$E$10:$E$12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'3.7. DACID'!$G$10:$G$12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F41-4A23-89FD-CA6C3ECBA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524017467248909"/>
          <c:y val="0.88372232540699847"/>
          <c:w val="0.58296943231441045"/>
          <c:h val="9.30232558139535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 DE FOMENTO DE VIVIENDA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FC-44F1-A8AB-BCAD29B1B1A9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FC-44F1-A8AB-BCAD29B1B1A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FC-44F1-A8AB-BCAD29B1B1A9}"/>
              </c:ext>
            </c:extLst>
          </c:dPt>
          <c:dLbls>
            <c:dLbl>
              <c:idx val="0"/>
              <c:layout>
                <c:manualLayout>
                  <c:x val="-0.20817399387576552"/>
                  <c:y val="-0.114787474482356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FC-44F1-A8AB-BCAD29B1B1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18591426071752E-2"/>
                  <c:y val="5.57662583843686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FC-44F1-A8AB-BCAD29B1B1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275131233595801"/>
                  <c:y val="-5.6496427529892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FC-44F1-A8AB-BCAD29B1B1A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 FOMVIVIENDA'!$E$12:$E$14</c:f>
              <c:strCache>
                <c:ptCount val="3"/>
                <c:pt idx="0">
                  <c:v>91%-100%</c:v>
                </c:pt>
                <c:pt idx="1">
                  <c:v>75%-90%</c:v>
                </c:pt>
                <c:pt idx="2">
                  <c:v>0%-75%</c:v>
                </c:pt>
              </c:strCache>
            </c:strRef>
          </c:cat>
          <c:val>
            <c:numRef>
              <c:f>'4.1 FOMVIVIENDA'!$G$12:$G$14</c:f>
              <c:numCache>
                <c:formatCode>0.00%</c:formatCode>
                <c:ptCount val="3"/>
                <c:pt idx="0">
                  <c:v>0.90909090909090906</c:v>
                </c:pt>
                <c:pt idx="1">
                  <c:v>0</c:v>
                </c:pt>
                <c:pt idx="2">
                  <c:v>9.0909090909090912E-2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FC-44F1-A8AB-BCAD29B1B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903930131004367"/>
          <c:y val="0.86092715231788075"/>
          <c:w val="0.63755458515283847"/>
          <c:h val="0.122516556291390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POR DEPENDENCIAS/ENTIDADES</a:t>
            </a:r>
          </a:p>
        </c:rich>
      </c:tx>
      <c:layout>
        <c:manualLayout>
          <c:xMode val="edge"/>
          <c:yMode val="edge"/>
          <c:x val="0.20208104735482321"/>
          <c:y val="4.2287390876264007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95146116502E-2"/>
          <c:y val="0.22094877996648263"/>
          <c:w val="0.81388888888888888"/>
          <c:h val="0.56009623797025376"/>
        </c:manualLayout>
      </c:layout>
      <c:pie3DChart>
        <c:varyColors val="1"/>
        <c:ser>
          <c:idx val="0"/>
          <c:order val="0"/>
          <c:tx>
            <c:strRef>
              <c:f>' CONSOLIDADO NIVEL CENTRAL '!$E$24:$G$24</c:f>
              <c:strCache>
                <c:ptCount val="1"/>
                <c:pt idx="0">
                  <c:v>EJECUCIÓN POR DEPENDENCIAS/ENTIDADES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D2-4F00-A6B8-3388F9F557A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D2-4F00-A6B8-3388F9F557A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D2-4F00-A6B8-3388F9F557A8}"/>
              </c:ext>
            </c:extLst>
          </c:dPt>
          <c:dLbls>
            <c:dLbl>
              <c:idx val="0"/>
              <c:layout>
                <c:manualLayout>
                  <c:x val="6.3613188976377952E-2"/>
                  <c:y val="9.685039370078739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8D2-4F00-A6B8-3388F9F55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63385826771657E-2"/>
                  <c:y val="3.459463400408282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8D2-4F00-A6B8-3388F9F55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605205599300081E-2"/>
                  <c:y val="-1.80125400991542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8D2-4F00-A6B8-3388F9F557A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 CONSOLIDADO NIVEL CENTRAL '!$E$26:$E$28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 CONSOLIDADO NIVEL CENTRAL '!$G$26:$G$28</c:f>
              <c:numCache>
                <c:formatCode>0.00%</c:formatCode>
                <c:ptCount val="3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D2-4F00-A6B8-3388F9F5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098829186408225"/>
          <c:y val="0.87241316000649516"/>
          <c:w val="0.68018324770588001"/>
          <c:h val="8.12930022594651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>
        <c:manualLayout>
          <c:xMode val="edge"/>
          <c:yMode val="edge"/>
          <c:x val="0.4595509997162936"/>
          <c:y val="3.84204909284951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254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F25-4075-9474-9DDE8A7D1608}"/>
              </c:ext>
            </c:extLst>
          </c:dPt>
          <c:dLbls>
            <c:dLbl>
              <c:idx val="0"/>
              <c:layout>
                <c:manualLayout>
                  <c:x val="-9.411763763327495E-2"/>
                  <c:y val="-0.20570154543761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F25-4075-9474-9DDE8A7D160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699518976551309E-2"/>
                  <c:y val="-0.192286227256898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F25-4075-9474-9DDE8A7D160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 FOMVIVIENDA'!$E$18:$F$18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'4.1 FOMVIVIENDA'!$E$19:$F$19</c:f>
              <c:numCache>
                <c:formatCode>"$"\ #,##0.0</c:formatCode>
                <c:ptCount val="2"/>
                <c:pt idx="0">
                  <c:v>755907048</c:v>
                </c:pt>
                <c:pt idx="1">
                  <c:v>752529584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25-4075-9474-9DDE8A7D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320808"/>
        <c:axId val="200321200"/>
        <c:axId val="0"/>
      </c:bar3DChart>
      <c:catAx>
        <c:axId val="20032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0321200"/>
        <c:crosses val="autoZero"/>
        <c:auto val="1"/>
        <c:lblAlgn val="ctr"/>
        <c:lblOffset val="100"/>
        <c:noMultiLvlLbl val="0"/>
      </c:catAx>
      <c:valAx>
        <c:axId val="2003212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0320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 DE DESARROLLO URBANO</a:t>
            </a:r>
          </a:p>
          <a:p>
            <a:pPr>
              <a:defRPr sz="1000" b="1"/>
            </a:pPr>
            <a:r>
              <a:rPr lang="es-MX" sz="1000" b="1"/>
              <a:t>EDUA</a:t>
            </a:r>
          </a:p>
        </c:rich>
      </c:tx>
      <c:layout>
        <c:manualLayout>
          <c:xMode val="edge"/>
          <c:yMode val="edge"/>
          <c:x val="0.27133069828722001"/>
          <c:y val="8.743169398907103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3020705745115192"/>
          <c:w val="0.81388888888888888"/>
          <c:h val="0.49086577719451735"/>
        </c:manualLayout>
      </c:layout>
      <c:pie3DChart>
        <c:varyColors val="1"/>
        <c:ser>
          <c:idx val="0"/>
          <c:order val="0"/>
          <c:spPr>
            <a:solidFill>
              <a:srgbClr val="9BBF57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92D05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84-409C-80FE-1063CA38958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84-409C-80FE-1063CA38958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84-409C-80FE-1063CA389587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84-409C-80FE-1063CA3895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2326498250218724"/>
                  <c:y val="-1.98494459025955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84-409C-80FE-1063CA38958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229057305336832"/>
                  <c:y val="-1.98494459025955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84-409C-80FE-1063CA389587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 EDUA'!$E$11:$E$13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'4.2 EDUA'!$F$11:$F$13</c:f>
              <c:numCache>
                <c:formatCode>#,##0</c:formatCode>
                <c:ptCount val="3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84-409C-80FE-1063CA389587}"/>
            </c:ext>
          </c:extLst>
        </c:ser>
        <c:ser>
          <c:idx val="1"/>
          <c:order val="1"/>
          <c:cat>
            <c:strRef>
              <c:f>'4.2 EDUA'!$E$11:$E$13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'4.2 EDUA'!$G$11:$G$13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7B5-449A-B28A-2F05754EC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162466499075478"/>
          <c:y val="0.88079469076053329"/>
          <c:w val="0.79130409490370435"/>
          <c:h val="0.119205309239466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F6-4392-8017-6331D6F7D2A0}"/>
              </c:ext>
            </c:extLst>
          </c:dPt>
          <c:dLbls>
            <c:dLbl>
              <c:idx val="0"/>
              <c:layout>
                <c:manualLayout>
                  <c:x val="-5.6657213685670421E-2"/>
                  <c:y val="-0.241555627266095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 </a:t>
                    </a:r>
                    <a:fld id="{7C249A5F-0D68-4058-BF50-15E12A1EA1AC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DF6-4392-8017-6331D6F7D2A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266288547426825E-2"/>
                  <c:y val="-0.229273137744090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 </a:t>
                    </a:r>
                    <a:fld id="{7954822A-401F-4744-A070-A361891FD125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DF6-4392-8017-6331D6F7D2A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'4.2 EDUA'!$E$17:$F$17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'4.2 EDUA'!$E$18:$F$18</c:f>
              <c:numCache>
                <c:formatCode>"$"#,##0</c:formatCode>
                <c:ptCount val="2"/>
                <c:pt idx="0">
                  <c:v>1177543627</c:v>
                </c:pt>
                <c:pt idx="1">
                  <c:v>1031397575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F6-4392-8017-6331D6F7D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147016"/>
        <c:axId val="202147408"/>
        <c:axId val="0"/>
      </c:bar3DChart>
      <c:catAx>
        <c:axId val="20214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2147408"/>
        <c:crosses val="autoZero"/>
        <c:auto val="1"/>
        <c:lblAlgn val="ctr"/>
        <c:lblOffset val="100"/>
        <c:noMultiLvlLbl val="0"/>
      </c:catAx>
      <c:valAx>
        <c:axId val="202147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2147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CORPORACIÓN DE CULTURA Y TURISMO</a:t>
            </a:r>
          </a:p>
        </c:rich>
      </c:tx>
      <c:layout>
        <c:manualLayout>
          <c:xMode val="edge"/>
          <c:yMode val="edge"/>
          <c:x val="0.20519410977242306"/>
          <c:y val="9.8328416912487712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030612995805427E-2"/>
          <c:y val="0.26972070351671157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2E-417E-8CE8-5C2B5DCC557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2E-417E-8CE8-5C2B5DCC557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2E-417E-8CE8-5C2B5DCC557A}"/>
              </c:ext>
            </c:extLst>
          </c:dPt>
          <c:dLbls>
            <c:dLbl>
              <c:idx val="0"/>
              <c:layout>
                <c:manualLayout>
                  <c:x val="9.5376859142607226E-2"/>
                  <c:y val="-0.1898191892680082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2E-417E-8CE8-5C2B5DCC55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972703412073491E-2"/>
                  <c:y val="3.1800087489063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2E-417E-8CE8-5C2B5DCC55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5404161067195496"/>
                  <c:y val="3.78422868280539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92E-417E-8CE8-5C2B5DCC55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 CORPOCULTURA'!$E$33:$E$35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'4.3 CORPOCULTURA'!$G$33:$G$35</c:f>
              <c:numCache>
                <c:formatCode>0.00%</c:formatCode>
                <c:ptCount val="3"/>
                <c:pt idx="0">
                  <c:v>0.73913043478260865</c:v>
                </c:pt>
                <c:pt idx="1">
                  <c:v>0</c:v>
                </c:pt>
                <c:pt idx="2">
                  <c:v>0.2608695652173913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2E-417E-8CE8-5C2B5DCC5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31372437300443"/>
          <c:y val="0.88296499262730954"/>
          <c:w val="0.66450352796809486"/>
          <c:h val="0.112957159424839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EJECUCIÓN PRESUPUESTAL</a:t>
            </a:r>
          </a:p>
        </c:rich>
      </c:tx>
      <c:layout>
        <c:manualLayout>
          <c:xMode val="edge"/>
          <c:yMode val="edge"/>
          <c:x val="0.40448315911730548"/>
          <c:y val="5.303867403314917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CB-4282-AB9F-B12FFC5BCA36}"/>
              </c:ext>
            </c:extLst>
          </c:dPt>
          <c:dLbls>
            <c:dLbl>
              <c:idx val="0"/>
              <c:layout>
                <c:manualLayout>
                  <c:x val="-6.3030290998751418E-2"/>
                  <c:y val="-0.22740189219861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BCB-4282-AB9F-B12FFC5BCA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333323152789665E-2"/>
                  <c:y val="-0.159181324539027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CB-4282-AB9F-B12FFC5BCA3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 CORPOCULTURA'!$E$39:$F$39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'4.3 CORPOCULTURA'!$E$40:$F$40</c:f>
              <c:numCache>
                <c:formatCode>"$"\ #,##0.00</c:formatCode>
                <c:ptCount val="2"/>
                <c:pt idx="0">
                  <c:v>3202019203.5599999</c:v>
                </c:pt>
                <c:pt idx="1">
                  <c:v>2330594999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CB-4282-AB9F-B12FFC5BC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148584"/>
        <c:axId val="202148976"/>
        <c:axId val="0"/>
      </c:bar3DChart>
      <c:catAx>
        <c:axId val="20214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2148976"/>
        <c:crosses val="autoZero"/>
        <c:auto val="1"/>
        <c:lblAlgn val="ctr"/>
        <c:lblOffset val="100"/>
        <c:noMultiLvlLbl val="0"/>
      </c:catAx>
      <c:valAx>
        <c:axId val="202148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2148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4803149606299213" l="0.70866141732283472" r="0.70866141732283472" t="0.74803149606299213" header="0.31496062992125984" footer="0.31496062992125984"/>
    <c:pageSetup paperSize="5"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IMDERA</a:t>
            </a:r>
          </a:p>
        </c:rich>
      </c:tx>
      <c:layout>
        <c:manualLayout>
          <c:xMode val="edge"/>
          <c:yMode val="edge"/>
          <c:x val="0.43015255189171231"/>
          <c:y val="3.509472207063225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26459208223972003"/>
          <c:w val="0.81388888888888888"/>
          <c:h val="0.55031131525226018"/>
        </c:manualLayout>
      </c:layout>
      <c:pie3DChart>
        <c:varyColors val="1"/>
        <c:ser>
          <c:idx val="0"/>
          <c:order val="0"/>
          <c:tx>
            <c:strRef>
              <c:f>'4.4 IMDERA'!$E$14:$E$16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711-4AE0-B8F9-A52D0505C597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711-4AE0-B8F9-A52D0505C59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711-4AE0-B8F9-A52D0505C597}"/>
              </c:ext>
            </c:extLst>
          </c:dPt>
          <c:dLbls>
            <c:dLbl>
              <c:idx val="0"/>
              <c:layout>
                <c:manualLayout>
                  <c:x val="8.6374628935575293E-2"/>
                  <c:y val="-8.79412350683887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11-4AE0-B8F9-A52D0505C5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326498250218722"/>
                  <c:y val="-5.67774861475648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711-4AE0-B8F9-A52D0505C5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729057305336833"/>
                  <c:y val="-1.974044911052785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711-4AE0-B8F9-A52D0505C5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'4.4 IMDERA'!$E$14:$E$16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'4.4 IMDERA'!$G$14:$G$16</c:f>
              <c:numCache>
                <c:formatCode>0.00%</c:formatCode>
                <c:ptCount val="3"/>
                <c:pt idx="0">
                  <c:v>0.90909090909090906</c:v>
                </c:pt>
                <c:pt idx="1">
                  <c:v>0</c:v>
                </c:pt>
                <c:pt idx="2">
                  <c:v>9.0909090909090912E-2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711-4AE0-B8F9-A52D0505C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83842794759825"/>
          <c:y val="0.87748344370860931"/>
          <c:w val="0.68122270742358082"/>
          <c:h val="9.93377483443708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989263523368249"/>
          <c:y val="0.13333333333333333"/>
          <c:w val="0.78517074670315756"/>
          <c:h val="0.75863723591928056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8B-4A4B-A555-A57FD8AEEC6B}"/>
              </c:ext>
            </c:extLst>
          </c:dPt>
          <c:dLbls>
            <c:dLbl>
              <c:idx val="0"/>
              <c:layout>
                <c:manualLayout>
                  <c:x val="-5.0755277349900832E-2"/>
                  <c:y val="-0.21955399133741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8B-4A4B-A555-A57FD8AEEC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86097659471952E-2"/>
                  <c:y val="-0.10520295418251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8B-4A4B-A555-A57FD8AEEC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'4.4 IMDERA'!$E$20:$F$20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'4.4 IMDERA'!$E$21:$F$21</c:f>
              <c:numCache>
                <c:formatCode>"$"\ #,##0</c:formatCode>
                <c:ptCount val="2"/>
                <c:pt idx="0">
                  <c:v>3457796607</c:v>
                </c:pt>
                <c:pt idx="1">
                  <c:v>3388230049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8B-4A4B-A555-A57FD8AEE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150152"/>
        <c:axId val="202150544"/>
        <c:axId val="0"/>
      </c:bar3DChart>
      <c:catAx>
        <c:axId val="20215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2150544"/>
        <c:crosses val="autoZero"/>
        <c:auto val="1"/>
        <c:lblAlgn val="ctr"/>
        <c:lblOffset val="100"/>
        <c:noMultiLvlLbl val="0"/>
      </c:catAx>
      <c:valAx>
        <c:axId val="202150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2150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456126234228407"/>
          <c:y val="0.13926443550595297"/>
          <c:w val="0.81625189850908686"/>
          <c:h val="0.782097739877045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'4.5 EPA'!$E$73:$F$73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41-4F18-A3E8-55A65F94F113}"/>
              </c:ext>
            </c:extLst>
          </c:dPt>
          <c:dLbls>
            <c:dLbl>
              <c:idx val="0"/>
              <c:layout>
                <c:manualLayout>
                  <c:x val="5.3467176634967556E-2"/>
                  <c:y val="-0.43029202081582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41-4F18-A3E8-55A65F94F113}"/>
                </c:ext>
                <c:ext xmlns:c15="http://schemas.microsoft.com/office/drawing/2012/chart" uri="{CE6537A1-D6FC-4f65-9D91-7224C49458BB}">
                  <c15:layout>
                    <c:manualLayout>
                      <c:w val="0.21702490199572344"/>
                      <c:h val="7.4332514332514338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7.3831490546587442E-2"/>
                  <c:y val="-0.15955675886199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41-4F18-A3E8-55A65F94F11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'4.5 EPA'!$E$73:$F$73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'4.5 EPA'!$E$74:$F$74</c:f>
              <c:numCache>
                <c:formatCode>"$"\ #,##0.00</c:formatCode>
                <c:ptCount val="2"/>
                <c:pt idx="0">
                  <c:v>31247945167.130001</c:v>
                </c:pt>
                <c:pt idx="1">
                  <c:v>29508866411.93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441-4F18-A3E8-55A65F94F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151328"/>
        <c:axId val="202151720"/>
        <c:axId val="0"/>
      </c:bar3DChart>
      <c:catAx>
        <c:axId val="2021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2151720"/>
        <c:crosses val="autoZero"/>
        <c:auto val="1"/>
        <c:lblAlgn val="ctr"/>
        <c:lblOffset val="100"/>
        <c:noMultiLvlLbl val="0"/>
      </c:catAx>
      <c:valAx>
        <c:axId val="2021517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215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MX" sz="1000" b="1"/>
              <a:t>EMPRESAS PÚBLICAS DE ARMENIA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92-4D85-A58F-D17001C950AB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92-4D85-A58F-D17001C950AB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92-4D85-A58F-D17001C950AB}"/>
              </c:ext>
            </c:extLst>
          </c:dPt>
          <c:dLbls>
            <c:dLbl>
              <c:idx val="0"/>
              <c:layout>
                <c:manualLayout>
                  <c:x val="-8.3634834022329324E-3"/>
                  <c:y val="-0.1263569309288159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92-4D85-A58F-D17001C950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9631626266521113"/>
                  <c:y val="-3.210659619930517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F92-4D85-A58F-D17001C950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370188101487313E-2"/>
                  <c:y val="-4.88476961213181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F92-4D85-A58F-D17001C950A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'4.5 EPA'!$E$67:$E$69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'4.5 EPA'!$G$67:$G$69</c:f>
              <c:numCache>
                <c:formatCode>0.00%</c:formatCode>
                <c:ptCount val="3"/>
                <c:pt idx="0">
                  <c:v>0.84057971014492749</c:v>
                </c:pt>
                <c:pt idx="1">
                  <c:v>8.6956521739130432E-2</c:v>
                </c:pt>
                <c:pt idx="2">
                  <c:v>7.2463768115942032E-2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92-4D85-A58F-D17001C95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89478378309509"/>
          <c:y val="0.87500014421274264"/>
          <c:w val="0.57763201929855856"/>
          <c:h val="0.118181765740820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AMABLE</a:t>
            </a:r>
          </a:p>
        </c:rich>
      </c:tx>
      <c:layout>
        <c:manualLayout>
          <c:xMode val="edge"/>
          <c:yMode val="edge"/>
          <c:x val="0.42236904704630862"/>
          <c:y val="3.505895096446277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'4.6 AMABLE'!$E$19:$E$21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19-478D-86FC-1DBE7849DDB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19-478D-86FC-1DBE7849DDB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19-478D-86FC-1DBE7849DDB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19-478D-86FC-1DBE7849DDBE}"/>
              </c:ext>
            </c:extLst>
          </c:dPt>
          <c:dLbls>
            <c:dLbl>
              <c:idx val="0"/>
              <c:layout>
                <c:manualLayout>
                  <c:x val="2.8899111281349813E-2"/>
                  <c:y val="-0.1082605884790716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19-478D-86FC-1DBE7849DD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67902449693788E-2"/>
                  <c:y val="2.41601049868766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B19-478D-86FC-1DBE7849DD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315551181102363"/>
                  <c:y val="-7.88123359580052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B19-478D-86FC-1DBE7849DDB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'4.6 AMABLE'!$E$19:$E$21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'4.6 AMABLE'!$G$19:$G$21</c:f>
              <c:numCache>
                <c:formatCode>0.00%</c:formatCode>
                <c:ptCount val="3"/>
                <c:pt idx="0">
                  <c:v>0.44444444444444442</c:v>
                </c:pt>
                <c:pt idx="1">
                  <c:v>0.1111111111111111</c:v>
                </c:pt>
                <c:pt idx="2">
                  <c:v>0.44444444444444442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B19-478D-86FC-1DBE7849D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263839795190194E-2"/>
          <c:y val="0.89735082892785023"/>
          <c:w val="0.8049857304954785"/>
          <c:h val="0.1026492618655225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31-4F09-9EB2-CE35D9B47DF8}"/>
              </c:ext>
            </c:extLst>
          </c:dPt>
          <c:dLbls>
            <c:dLbl>
              <c:idx val="0"/>
              <c:layout>
                <c:manualLayout>
                  <c:x val="7.420169723554719E-2"/>
                  <c:y val="-0.4048490262717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31-4F09-9EB2-CE35D9B47DF8}"/>
                </c:ext>
                <c:ext xmlns:c15="http://schemas.microsoft.com/office/drawing/2012/chart" uri="{CE6537A1-D6FC-4f65-9D91-7224C49458BB}">
                  <c15:layout>
                    <c:manualLayout>
                      <c:w val="0.24727649520287573"/>
                      <c:h val="7.4128255706539359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7.3277352073556887E-2"/>
                  <c:y val="-0.263350996522761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31-4F09-9EB2-CE35D9B47DF8}"/>
                </c:ext>
                <c:ext xmlns:c15="http://schemas.microsoft.com/office/drawing/2012/chart" uri="{CE6537A1-D6FC-4f65-9D91-7224C49458BB}">
                  <c15:layout>
                    <c:manualLayout>
                      <c:w val="0.22550890776254254"/>
                      <c:h val="0.10143866570368543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CONSOLIDADO NIVEL CENTRAL '!$E$41:$F$41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 CONSOLIDADO NIVEL CENTRAL '!$E$42:$F$42</c:f>
              <c:numCache>
                <c:formatCode>[$$-240A]\ #,##0.00</c:formatCode>
                <c:ptCount val="2"/>
                <c:pt idx="0">
                  <c:v>466315149838.52991</c:v>
                </c:pt>
                <c:pt idx="1">
                  <c:v>387920453538.27008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31-4F09-9EB2-CE35D9B47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908688"/>
        <c:axId val="148909080"/>
        <c:axId val="0"/>
      </c:bar3DChart>
      <c:catAx>
        <c:axId val="14890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148909080"/>
        <c:crosses val="autoZero"/>
        <c:auto val="1"/>
        <c:lblAlgn val="ctr"/>
        <c:lblOffset val="100"/>
        <c:noMultiLvlLbl val="0"/>
      </c:catAx>
      <c:valAx>
        <c:axId val="1489090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4890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EJECUCIÓN PRESUPUESTAL</a:t>
            </a:r>
          </a:p>
        </c:rich>
      </c:tx>
      <c:layout>
        <c:manualLayout>
          <c:xMode val="edge"/>
          <c:yMode val="edge"/>
          <c:x val="0.39023496619905595"/>
          <c:y val="1.536098310291858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959027577364178"/>
          <c:y val="0.17780086767504577"/>
          <c:w val="0.72277004340788786"/>
          <c:h val="0.7364638183113708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E4-4558-BD19-B4A27EC6D370}"/>
              </c:ext>
            </c:extLst>
          </c:dPt>
          <c:dLbls>
            <c:dLbl>
              <c:idx val="0"/>
              <c:layout>
                <c:manualLayout>
                  <c:x val="-3.215250768495196E-2"/>
                  <c:y val="-0.241551377412522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E4-4558-BD19-B4A27EC6D370}"/>
                </c:ext>
                <c:ext xmlns:c15="http://schemas.microsoft.com/office/drawing/2012/chart" uri="{CE6537A1-D6FC-4f65-9D91-7224C49458BB}">
                  <c15:layout>
                    <c:manualLayout>
                      <c:w val="0.22670215780549555"/>
                      <c:h val="0.1039633447880870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7.5925830564384043E-3"/>
                  <c:y val="-0.21390661218894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E4-4558-BD19-B4A27EC6D370}"/>
                </c:ext>
                <c:ext xmlns:c15="http://schemas.microsoft.com/office/drawing/2012/chart" uri="{CE6537A1-D6FC-4f65-9D91-7224C49458BB}">
                  <c15:layout>
                    <c:manualLayout>
                      <c:w val="0.22834338354797706"/>
                      <c:h val="0.10854524627720503"/>
                    </c:manualLayout>
                  </c15:layout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 AMABLE'!$E$25:$F$25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'4.6 AMABLE'!$E$26:$F$26</c:f>
              <c:numCache>
                <c:formatCode>"$"\ #,##0.00</c:formatCode>
                <c:ptCount val="2"/>
                <c:pt idx="0">
                  <c:v>41958153041.199997</c:v>
                </c:pt>
                <c:pt idx="1">
                  <c:v>14005264261.940001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AE4-4558-BD19-B4A27EC6D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153288"/>
        <c:axId val="202153680"/>
        <c:axId val="0"/>
      </c:bar3DChart>
      <c:catAx>
        <c:axId val="20215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CO"/>
          </a:p>
        </c:txPr>
        <c:crossAx val="202153680"/>
        <c:crosses val="autoZero"/>
        <c:auto val="1"/>
        <c:lblAlgn val="ctr"/>
        <c:lblOffset val="100"/>
        <c:noMultiLvlLbl val="0"/>
      </c:catAx>
      <c:valAx>
        <c:axId val="202153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02153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CC"/>
        </a:solidFill>
        <a:ln w="25400">
          <a:noFill/>
        </a:ln>
      </c:spPr>
    </c:sideWall>
    <c:backWall>
      <c:thickness val="0"/>
      <c:spPr>
        <a:solidFill>
          <a:srgbClr val="FFFFCC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55-40BA-951D-DFEFDBB63EAF}"/>
              </c:ext>
            </c:extLst>
          </c:dPt>
          <c:dLbls>
            <c:dLbl>
              <c:idx val="0"/>
              <c:layout>
                <c:manualLayout>
                  <c:x val="-5.6657213685670421E-2"/>
                  <c:y val="-0.24155562726609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855-40BA-951D-DFEFDBB63E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66288547426825E-2"/>
                  <c:y val="-0.22927313774409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855-40BA-951D-DFEFDBB63E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'4.7 REDSALUD'!$E$16:$F$16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'4.7 REDSALUD'!$E$17:$F$17</c:f>
              <c:numCache>
                <c:formatCode>"$"\ #,##0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55-40BA-951D-DFEFDBB6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154464"/>
        <c:axId val="202668280"/>
        <c:axId val="0"/>
      </c:bar3DChart>
      <c:catAx>
        <c:axId val="2021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2668280"/>
        <c:crosses val="autoZero"/>
        <c:auto val="1"/>
        <c:lblAlgn val="ctr"/>
        <c:lblOffset val="100"/>
        <c:noMultiLvlLbl val="0"/>
      </c:catAx>
      <c:valAx>
        <c:axId val="202668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2154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RED</a:t>
            </a:r>
            <a:r>
              <a:rPr lang="es-CO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SALUD ARMENIA</a:t>
            </a:r>
            <a:endParaRPr lang="es-CO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C2B-49C0-A71E-C1391D716F74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FE-4BBB-8F1F-EEB72F9CBEB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AFE-4BBB-8F1F-EEB72F9CB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'4.7 REDSALUD'!$E$10:$E$12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'4.7 REDSALUD'!$F$10:$F$12</c:f>
              <c:numCache>
                <c:formatCode>#,##0</c:formatCode>
                <c:ptCount val="3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FE-4BBB-8F1F-EEB72F9CBEB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C2B-49C0-A71E-C1391D716F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C2B-49C0-A71E-C1391D716F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C2B-49C0-A71E-C1391D716F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'4.7 REDSALUD'!$E$10:$E$12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'4.7 REDSALUD'!$G$10:$G$12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FE-4BBB-8F1F-EEB72F9CBEB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096638632615659"/>
          <c:y val="4.72324833035960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 CONSOLIDADO NIVEL CENTRAL '!$E$32:$G$32</c:f>
              <c:strCache>
                <c:ptCount val="1"/>
                <c:pt idx="0">
                  <c:v>EJECUCIÓN POR ACTIVIDADES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rgbClr val="C0D79B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57-4B28-A183-8792D2137D58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57-4B28-A183-8792D2137D5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57-4B28-A183-8792D2137D5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CONSOLIDADO NIVEL CENTRAL '!$E$34:$E$36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 CONSOLIDADO NIVEL CENTRAL '!$G$34:$G$36</c:f>
              <c:numCache>
                <c:formatCode>0.00%</c:formatCode>
                <c:ptCount val="3"/>
                <c:pt idx="0">
                  <c:v>0.80525686977299882</c:v>
                </c:pt>
                <c:pt idx="1">
                  <c:v>3.4647550776583033E-2</c:v>
                </c:pt>
                <c:pt idx="2">
                  <c:v>0.16009557945041816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57-4B28-A183-8792D2137D58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75903455357974"/>
          <c:y val="0.88211745330136149"/>
          <c:w val="0.62595379081113878"/>
          <c:h val="9.4266305046840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EJECUCIÓN PRESUPUESTAL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rgbClr val="FFFFD5"/>
        </a:solidFill>
        <a:ln w="25400">
          <a:noFill/>
        </a:ln>
      </c:spPr>
    </c:sideWall>
    <c:backWall>
      <c:thickness val="0"/>
      <c:spPr>
        <a:solidFill>
          <a:srgbClr val="FFFFD5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C3D69B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12-4448-8F4B-2FE48995C427}"/>
              </c:ext>
            </c:extLst>
          </c:dPt>
          <c:dLbls>
            <c:dLbl>
              <c:idx val="0"/>
              <c:layout>
                <c:manualLayout>
                  <c:x val="-0.12618555881577667"/>
                  <c:y val="-0.20077588434869167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A12-4448-8F4B-2FE48995C4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350514531990288"/>
                  <c:y val="-0.11348202158839096"/>
                </c:manualLayout>
              </c:layout>
              <c:spPr>
                <a:solidFill>
                  <a:srgbClr val="D9D9D9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A12-4448-8F4B-2FE48995C4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'1.DESPACHO'!$E$20:$F$20</c:f>
              <c:strCache>
                <c:ptCount val="2"/>
                <c:pt idx="0">
                  <c:v>Apropiacion Definitiva</c:v>
                </c:pt>
                <c:pt idx="1">
                  <c:v>Registro Presupuestal</c:v>
                </c:pt>
              </c:strCache>
            </c:strRef>
          </c:cat>
          <c:val>
            <c:numRef>
              <c:f>'1.DESPACHO'!$E$21:$F$21</c:f>
              <c:numCache>
                <c:formatCode>[$$-240A]\ #,##0.00</c:formatCode>
                <c:ptCount val="2"/>
                <c:pt idx="0">
                  <c:v>2236204242.96</c:v>
                </c:pt>
                <c:pt idx="1">
                  <c:v>2090616390.24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12-4448-8F4B-2FE48995C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gapDepth val="184"/>
        <c:shape val="box"/>
        <c:axId val="148910256"/>
        <c:axId val="148910648"/>
        <c:axId val="0"/>
      </c:bar3DChart>
      <c:catAx>
        <c:axId val="14891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8910648"/>
        <c:crosses val="autoZero"/>
        <c:auto val="1"/>
        <c:lblAlgn val="ctr"/>
        <c:lblOffset val="100"/>
        <c:noMultiLvlLbl val="0"/>
      </c:catAx>
      <c:valAx>
        <c:axId val="1489106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[$$-240A]\ #,##0.00" sourceLinked="1"/>
        <c:majorTickMark val="in"/>
        <c:minorTickMark val="in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48910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MX" b="1"/>
              <a:t>DESPACHO DEL ALCALDE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21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608-4A56-B783-A9C141DD1A0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608-4A56-B783-A9C141DD1A0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608-4A56-B783-A9C141DD1A0F}"/>
              </c:ext>
            </c:extLst>
          </c:dPt>
          <c:dLbls>
            <c:dLbl>
              <c:idx val="1"/>
              <c:layout>
                <c:manualLayout>
                  <c:x val="-3.8754587608923585E-2"/>
                  <c:y val="-7.75306192640212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08-4A56-B783-A9C141DD1A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5155613729818196"/>
                  <c:y val="-3.64172052251683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608-4A56-B783-A9C141DD1A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'1.DESPACHO'!$E$14:$E$16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'1.DESPACHO'!$G$14:$G$16</c:f>
              <c:numCache>
                <c:formatCode>0.00%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608-4A56-B783-A9C141DD1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173935866712313"/>
          <c:y val="0.90851735015772872"/>
          <c:w val="0.53043523907337664"/>
          <c:h val="8.2018927444794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b="1"/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SECRETARÍA DE GOBIERNO Y CONVIVENCIA</a:t>
            </a:r>
          </a:p>
        </c:rich>
      </c:tx>
      <c:layout>
        <c:manualLayout>
          <c:xMode val="edge"/>
          <c:yMode val="edge"/>
          <c:x val="0.13535179070358141"/>
          <c:y val="4.035874439461883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277777777777776E-2"/>
          <c:y val="0.27917979002624671"/>
          <c:w val="0.81388888888888888"/>
          <c:h val="0.5600962379702537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3D69B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01-495C-B0EC-FB6B3C38156F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01-495C-B0EC-FB6B3C38156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01-495C-B0EC-FB6B3C38156F}"/>
              </c:ext>
            </c:extLst>
          </c:dPt>
          <c:dLbls>
            <c:dLbl>
              <c:idx val="0"/>
              <c:layout>
                <c:manualLayout>
                  <c:x val="6.0657399496617172E-2"/>
                  <c:y val="-0.115746619116556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01-495C-B0EC-FB6B3C381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35161854768154"/>
                  <c:y val="3.678186060075823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701-495C-B0EC-FB6B3C381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25645231846019"/>
                  <c:y val="-1.12062554680664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701-495C-B0EC-FB6B3C3815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D9D9D9"/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 GOBIERNO Y CONVIVENCIA'!$E$23:$E$25</c:f>
              <c:strCache>
                <c:ptCount val="3"/>
                <c:pt idx="0">
                  <c:v>91%-100%</c:v>
                </c:pt>
                <c:pt idx="1">
                  <c:v>76%-90%</c:v>
                </c:pt>
                <c:pt idx="2">
                  <c:v>0%-75%</c:v>
                </c:pt>
              </c:strCache>
            </c:strRef>
          </c:cat>
          <c:val>
            <c:numRef>
              <c:f>'2.1 GOBIERNO Y CONVIVENCIA'!$G$23:$G$25</c:f>
              <c:numCache>
                <c:formatCode>0.00%</c:formatCode>
                <c:ptCount val="3"/>
                <c:pt idx="0">
                  <c:v>0.83333333333333337</c:v>
                </c:pt>
                <c:pt idx="1">
                  <c:v>2.0833333333333332E-2</c:v>
                </c:pt>
                <c:pt idx="2">
                  <c:v>0.14583333333333334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01-495C-B0EC-FB6B3C381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9721350190703"/>
          <c:y val="0.8797279721478114"/>
          <c:w val="0.58170049005312252"/>
          <c:h val="9.6220292051122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3.xml"/><Relationship Id="rId1" Type="http://schemas.openxmlformats.org/officeDocument/2006/relationships/image" Target="../media/image1.jpeg"/><Relationship Id="rId5" Type="http://schemas.openxmlformats.org/officeDocument/2006/relationships/chart" Target="../charts/chart24.xml"/><Relationship Id="rId4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jpeg"/><Relationship Id="rId5" Type="http://schemas.openxmlformats.org/officeDocument/2006/relationships/image" Target="../media/image14.png"/><Relationship Id="rId4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jpeg"/><Relationship Id="rId5" Type="http://schemas.openxmlformats.org/officeDocument/2006/relationships/image" Target="../media/image15.png"/><Relationship Id="rId4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jpeg"/><Relationship Id="rId5" Type="http://schemas.openxmlformats.org/officeDocument/2006/relationships/image" Target="../media/image14.png"/><Relationship Id="rId4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jpeg"/><Relationship Id="rId5" Type="http://schemas.openxmlformats.org/officeDocument/2006/relationships/image" Target="../media/image16.pn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jpeg"/><Relationship Id="rId5" Type="http://schemas.openxmlformats.org/officeDocument/2006/relationships/image" Target="../media/image17.png"/><Relationship Id="rId4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4" Type="http://schemas.openxmlformats.org/officeDocument/2006/relationships/image" Target="../media/image10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image" Target="../media/image10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jpeg"/><Relationship Id="rId5" Type="http://schemas.openxmlformats.org/officeDocument/2006/relationships/image" Target="../media/image10.png"/><Relationship Id="rId4" Type="http://schemas.openxmlformats.org/officeDocument/2006/relationships/image" Target="../media/image12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.jpeg"/><Relationship Id="rId1" Type="http://schemas.openxmlformats.org/officeDocument/2006/relationships/chart" Target="../charts/chart47.xml"/><Relationship Id="rId4" Type="http://schemas.openxmlformats.org/officeDocument/2006/relationships/chart" Target="../charts/chart48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image" Target="../media/image18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chart" Target="../charts/chart51.xml"/><Relationship Id="rId4" Type="http://schemas.openxmlformats.org/officeDocument/2006/relationships/chart" Target="../charts/chart5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6" Type="http://schemas.openxmlformats.org/officeDocument/2006/relationships/chart" Target="../charts/chart6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7.png"/><Relationship Id="rId4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5" Type="http://schemas.openxmlformats.org/officeDocument/2006/relationships/chart" Target="../charts/chart14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2062394" name="3 Imagen" descr="logo.jpg">
          <a:extLst>
            <a:ext uri="{FF2B5EF4-FFF2-40B4-BE49-F238E27FC236}">
              <a16:creationId xmlns="" xmlns:a16="http://schemas.microsoft.com/office/drawing/2014/main" id="{00000000-0008-0000-0000-00003AA5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29</xdr:row>
      <xdr:rowOff>83343</xdr:rowOff>
    </xdr:from>
    <xdr:to>
      <xdr:col>2</xdr:col>
      <xdr:colOff>762000</xdr:colOff>
      <xdr:row>44</xdr:row>
      <xdr:rowOff>71437</xdr:rowOff>
    </xdr:to>
    <xdr:graphicFrame macro="">
      <xdr:nvGraphicFramePr>
        <xdr:cNvPr id="22062395" name="Gráfico 1">
          <a:extLst>
            <a:ext uri="{FF2B5EF4-FFF2-40B4-BE49-F238E27FC236}">
              <a16:creationId xmlns="" xmlns:a16="http://schemas.microsoft.com/office/drawing/2014/main" id="{00000000-0008-0000-0000-00003BA55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59531</xdr:colOff>
      <xdr:row>50</xdr:row>
      <xdr:rowOff>19050</xdr:rowOff>
    </xdr:from>
    <xdr:to>
      <xdr:col>6</xdr:col>
      <xdr:colOff>1315243</xdr:colOff>
      <xdr:row>65</xdr:row>
      <xdr:rowOff>59531</xdr:rowOff>
    </xdr:to>
    <xdr:graphicFrame macro="">
      <xdr:nvGraphicFramePr>
        <xdr:cNvPr id="22062396" name="Gráfico 2">
          <a:extLst>
            <a:ext uri="{FF2B5EF4-FFF2-40B4-BE49-F238E27FC236}">
              <a16:creationId xmlns="" xmlns:a16="http://schemas.microsoft.com/office/drawing/2014/main" id="{00000000-0008-0000-0000-00003CA55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540543</xdr:colOff>
      <xdr:row>0</xdr:row>
      <xdr:rowOff>107156</xdr:rowOff>
    </xdr:from>
    <xdr:to>
      <xdr:col>1</xdr:col>
      <xdr:colOff>1180623</xdr:colOff>
      <xdr:row>0</xdr:row>
      <xdr:rowOff>846559</xdr:rowOff>
    </xdr:to>
    <xdr:pic>
      <xdr:nvPicPr>
        <xdr:cNvPr id="2206239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000-00003DA5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" y="107156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202406</xdr:colOff>
      <xdr:row>0</xdr:row>
      <xdr:rowOff>0</xdr:rowOff>
    </xdr:from>
    <xdr:to>
      <xdr:col>6</xdr:col>
      <xdr:colOff>1299686</xdr:colOff>
      <xdr:row>0</xdr:row>
      <xdr:rowOff>952276</xdr:rowOff>
    </xdr:to>
    <xdr:pic>
      <xdr:nvPicPr>
        <xdr:cNvPr id="22062398" name="Imagen 7">
          <a:extLst>
            <a:ext uri="{FF2B5EF4-FFF2-40B4-BE49-F238E27FC236}">
              <a16:creationId xmlns="" xmlns:a16="http://schemas.microsoft.com/office/drawing/2014/main" id="{00000000-0008-0000-0000-00003EA55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9969" y="0"/>
          <a:ext cx="1097280" cy="952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29766</xdr:colOff>
      <xdr:row>46</xdr:row>
      <xdr:rowOff>23812</xdr:rowOff>
    </xdr:from>
    <xdr:to>
      <xdr:col>2</xdr:col>
      <xdr:colOff>714374</xdr:colOff>
      <xdr:row>62</xdr:row>
      <xdr:rowOff>166687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502656" name="3 Imagen" descr="logo.jpg">
          <a:extLst>
            <a:ext uri="{FF2B5EF4-FFF2-40B4-BE49-F238E27FC236}">
              <a16:creationId xmlns="" xmlns:a16="http://schemas.microsoft.com/office/drawing/2014/main" id="{00000000-0008-0000-0600-0000409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20</xdr:row>
      <xdr:rowOff>215899</xdr:rowOff>
    </xdr:from>
    <xdr:to>
      <xdr:col>6</xdr:col>
      <xdr:colOff>1330325</xdr:colOff>
      <xdr:row>32</xdr:row>
      <xdr:rowOff>161925</xdr:rowOff>
    </xdr:to>
    <xdr:graphicFrame macro="">
      <xdr:nvGraphicFramePr>
        <xdr:cNvPr id="19502657" name="Gráfico 2">
          <a:extLst>
            <a:ext uri="{FF2B5EF4-FFF2-40B4-BE49-F238E27FC236}">
              <a16:creationId xmlns="" xmlns:a16="http://schemas.microsoft.com/office/drawing/2014/main" id="{00000000-0008-0000-0600-0000419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66676</xdr:colOff>
      <xdr:row>11</xdr:row>
      <xdr:rowOff>187323</xdr:rowOff>
    </xdr:from>
    <xdr:to>
      <xdr:col>2</xdr:col>
      <xdr:colOff>885826</xdr:colOff>
      <xdr:row>20</xdr:row>
      <xdr:rowOff>542924</xdr:rowOff>
    </xdr:to>
    <xdr:graphicFrame macro="">
      <xdr:nvGraphicFramePr>
        <xdr:cNvPr id="19502658" name="Gráfico 3">
          <a:extLst>
            <a:ext uri="{FF2B5EF4-FFF2-40B4-BE49-F238E27FC236}">
              <a16:creationId xmlns="" xmlns:a16="http://schemas.microsoft.com/office/drawing/2014/main" id="{00000000-0008-0000-0600-0000429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638175</xdr:colOff>
      <xdr:row>0</xdr:row>
      <xdr:rowOff>76200</xdr:rowOff>
    </xdr:from>
    <xdr:to>
      <xdr:col>1</xdr:col>
      <xdr:colOff>1278255</xdr:colOff>
      <xdr:row>0</xdr:row>
      <xdr:rowOff>815603</xdr:rowOff>
    </xdr:to>
    <xdr:pic>
      <xdr:nvPicPr>
        <xdr:cNvPr id="1950265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600-00004396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0</xdr:row>
      <xdr:rowOff>9525</xdr:rowOff>
    </xdr:from>
    <xdr:to>
      <xdr:col>6</xdr:col>
      <xdr:colOff>1221105</xdr:colOff>
      <xdr:row>0</xdr:row>
      <xdr:rowOff>843457</xdr:rowOff>
    </xdr:to>
    <xdr:pic>
      <xdr:nvPicPr>
        <xdr:cNvPr id="19502660" name="Imagen 7">
          <a:extLst>
            <a:ext uri="{FF2B5EF4-FFF2-40B4-BE49-F238E27FC236}">
              <a16:creationId xmlns="" xmlns:a16="http://schemas.microsoft.com/office/drawing/2014/main" id="{00000000-0008-0000-0600-0000449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850" y="952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19224280" name="3 Imagen" descr="logo.jpg">
          <a:extLst>
            <a:ext uri="{FF2B5EF4-FFF2-40B4-BE49-F238E27FC236}">
              <a16:creationId xmlns="" xmlns:a16="http://schemas.microsoft.com/office/drawing/2014/main" id="{00000000-0008-0000-0700-0000D8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19224281" name="3 Imagen" descr="logo.jpg">
          <a:extLst>
            <a:ext uri="{FF2B5EF4-FFF2-40B4-BE49-F238E27FC236}">
              <a16:creationId xmlns="" xmlns:a16="http://schemas.microsoft.com/office/drawing/2014/main" id="{00000000-0008-0000-0700-0000D9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298449</xdr:colOff>
      <xdr:row>55</xdr:row>
      <xdr:rowOff>31750</xdr:rowOff>
    </xdr:from>
    <xdr:to>
      <xdr:col>2</xdr:col>
      <xdr:colOff>898524</xdr:colOff>
      <xdr:row>70</xdr:row>
      <xdr:rowOff>168275</xdr:rowOff>
    </xdr:to>
    <xdr:graphicFrame macro="">
      <xdr:nvGraphicFramePr>
        <xdr:cNvPr id="19224282" name="Gráfico 3">
          <a:extLst>
            <a:ext uri="{FF2B5EF4-FFF2-40B4-BE49-F238E27FC236}">
              <a16:creationId xmlns="" xmlns:a16="http://schemas.microsoft.com/office/drawing/2014/main" id="{00000000-0008-0000-0700-0000DA56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134938</xdr:colOff>
      <xdr:row>55</xdr:row>
      <xdr:rowOff>20638</xdr:rowOff>
    </xdr:from>
    <xdr:to>
      <xdr:col>6</xdr:col>
      <xdr:colOff>1347788</xdr:colOff>
      <xdr:row>71</xdr:row>
      <xdr:rowOff>68263</xdr:rowOff>
    </xdr:to>
    <xdr:graphicFrame macro="">
      <xdr:nvGraphicFramePr>
        <xdr:cNvPr id="19224283" name="Gráfico 2">
          <a:extLst>
            <a:ext uri="{FF2B5EF4-FFF2-40B4-BE49-F238E27FC236}">
              <a16:creationId xmlns="" xmlns:a16="http://schemas.microsoft.com/office/drawing/2014/main" id="{00000000-0008-0000-0700-0000DB562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428624</xdr:colOff>
      <xdr:row>1</xdr:row>
      <xdr:rowOff>85725</xdr:rowOff>
    </xdr:from>
    <xdr:to>
      <xdr:col>1</xdr:col>
      <xdr:colOff>1068704</xdr:colOff>
      <xdr:row>1</xdr:row>
      <xdr:rowOff>812596</xdr:rowOff>
    </xdr:to>
    <xdr:pic>
      <xdr:nvPicPr>
        <xdr:cNvPr id="19224284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700-0000DC56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285750"/>
          <a:ext cx="640080" cy="726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152398</xdr:colOff>
      <xdr:row>0</xdr:row>
      <xdr:rowOff>66675</xdr:rowOff>
    </xdr:from>
    <xdr:to>
      <xdr:col>6</xdr:col>
      <xdr:colOff>1249678</xdr:colOff>
      <xdr:row>2</xdr:row>
      <xdr:rowOff>514</xdr:rowOff>
    </xdr:to>
    <xdr:pic>
      <xdr:nvPicPr>
        <xdr:cNvPr id="19224285" name="Imagen 7">
          <a:extLst>
            <a:ext uri="{FF2B5EF4-FFF2-40B4-BE49-F238E27FC236}">
              <a16:creationId xmlns="" xmlns:a16="http://schemas.microsoft.com/office/drawing/2014/main" id="{00000000-0008-0000-0700-0000DD562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3" y="66675"/>
          <a:ext cx="1097280" cy="1014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0123137" name="3 Imagen" descr="logo.jpg">
          <a:extLst>
            <a:ext uri="{FF2B5EF4-FFF2-40B4-BE49-F238E27FC236}">
              <a16:creationId xmlns="" xmlns:a16="http://schemas.microsoft.com/office/drawing/2014/main" id="{00000000-0008-0000-0800-0000010E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317499</xdr:colOff>
      <xdr:row>25</xdr:row>
      <xdr:rowOff>25400</xdr:rowOff>
    </xdr:from>
    <xdr:to>
      <xdr:col>2</xdr:col>
      <xdr:colOff>993774</xdr:colOff>
      <xdr:row>40</xdr:row>
      <xdr:rowOff>120650</xdr:rowOff>
    </xdr:to>
    <xdr:graphicFrame macro="">
      <xdr:nvGraphicFramePr>
        <xdr:cNvPr id="20123138" name="Gráfico 1">
          <a:extLst>
            <a:ext uri="{FF2B5EF4-FFF2-40B4-BE49-F238E27FC236}">
              <a16:creationId xmlns="" xmlns:a16="http://schemas.microsoft.com/office/drawing/2014/main" id="{00000000-0008-0000-0800-0000020E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1362075</xdr:colOff>
      <xdr:row>35</xdr:row>
      <xdr:rowOff>152400</xdr:rowOff>
    </xdr:from>
    <xdr:to>
      <xdr:col>6</xdr:col>
      <xdr:colOff>1428750</xdr:colOff>
      <xdr:row>51</xdr:row>
      <xdr:rowOff>152400</xdr:rowOff>
    </xdr:to>
    <xdr:graphicFrame macro="">
      <xdr:nvGraphicFramePr>
        <xdr:cNvPr id="20123139" name="Gráfico 2">
          <a:extLst>
            <a:ext uri="{FF2B5EF4-FFF2-40B4-BE49-F238E27FC236}">
              <a16:creationId xmlns="" xmlns:a16="http://schemas.microsoft.com/office/drawing/2014/main" id="{00000000-0008-0000-0800-0000030E3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704849</xdr:colOff>
      <xdr:row>0</xdr:row>
      <xdr:rowOff>47625</xdr:rowOff>
    </xdr:from>
    <xdr:to>
      <xdr:col>1</xdr:col>
      <xdr:colOff>1344929</xdr:colOff>
      <xdr:row>0</xdr:row>
      <xdr:rowOff>800000</xdr:rowOff>
    </xdr:to>
    <xdr:pic>
      <xdr:nvPicPr>
        <xdr:cNvPr id="20123140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800-0000040E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" y="47625"/>
          <a:ext cx="640080" cy="75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247649</xdr:colOff>
      <xdr:row>0</xdr:row>
      <xdr:rowOff>0</xdr:rowOff>
    </xdr:from>
    <xdr:to>
      <xdr:col>6</xdr:col>
      <xdr:colOff>1259204</xdr:colOff>
      <xdr:row>0</xdr:row>
      <xdr:rowOff>833934</xdr:rowOff>
    </xdr:to>
    <xdr:pic>
      <xdr:nvPicPr>
        <xdr:cNvPr id="20123141" name="Imagen 7">
          <a:extLst>
            <a:ext uri="{FF2B5EF4-FFF2-40B4-BE49-F238E27FC236}">
              <a16:creationId xmlns="" xmlns:a16="http://schemas.microsoft.com/office/drawing/2014/main" id="{00000000-0008-0000-0800-0000050E3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4" y="0"/>
          <a:ext cx="1011555" cy="833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507779" name="3 Imagen" descr="logo.jpg">
          <a:extLst>
            <a:ext uri="{FF2B5EF4-FFF2-40B4-BE49-F238E27FC236}">
              <a16:creationId xmlns="" xmlns:a16="http://schemas.microsoft.com/office/drawing/2014/main" id="{00000000-0008-0000-0900-000043AA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485775</xdr:colOff>
      <xdr:row>21</xdr:row>
      <xdr:rowOff>57150</xdr:rowOff>
    </xdr:from>
    <xdr:to>
      <xdr:col>7</xdr:col>
      <xdr:colOff>0</xdr:colOff>
      <xdr:row>37</xdr:row>
      <xdr:rowOff>57150</xdr:rowOff>
    </xdr:to>
    <xdr:graphicFrame macro="">
      <xdr:nvGraphicFramePr>
        <xdr:cNvPr id="19507780" name="Gráfico 2">
          <a:extLst>
            <a:ext uri="{FF2B5EF4-FFF2-40B4-BE49-F238E27FC236}">
              <a16:creationId xmlns="" xmlns:a16="http://schemas.microsoft.com/office/drawing/2014/main" id="{00000000-0008-0000-0900-000044AA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10</xdr:row>
      <xdr:rowOff>104775</xdr:rowOff>
    </xdr:from>
    <xdr:to>
      <xdr:col>2</xdr:col>
      <xdr:colOff>704850</xdr:colOff>
      <xdr:row>25</xdr:row>
      <xdr:rowOff>9525</xdr:rowOff>
    </xdr:to>
    <xdr:graphicFrame macro="">
      <xdr:nvGraphicFramePr>
        <xdr:cNvPr id="19507781" name="Gráfico 3">
          <a:extLst>
            <a:ext uri="{FF2B5EF4-FFF2-40B4-BE49-F238E27FC236}">
              <a16:creationId xmlns="" xmlns:a16="http://schemas.microsoft.com/office/drawing/2014/main" id="{00000000-0008-0000-0900-000045AA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571500</xdr:colOff>
      <xdr:row>0</xdr:row>
      <xdr:rowOff>66675</xdr:rowOff>
    </xdr:from>
    <xdr:to>
      <xdr:col>1</xdr:col>
      <xdr:colOff>1211580</xdr:colOff>
      <xdr:row>0</xdr:row>
      <xdr:rowOff>806078</xdr:rowOff>
    </xdr:to>
    <xdr:pic>
      <xdr:nvPicPr>
        <xdr:cNvPr id="1950778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900-000046AA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6</xdr:col>
      <xdr:colOff>1259205</xdr:colOff>
      <xdr:row>0</xdr:row>
      <xdr:rowOff>862507</xdr:rowOff>
    </xdr:to>
    <xdr:pic>
      <xdr:nvPicPr>
        <xdr:cNvPr id="19507783" name="Imagen 7">
          <a:extLst>
            <a:ext uri="{FF2B5EF4-FFF2-40B4-BE49-F238E27FC236}">
              <a16:creationId xmlns="" xmlns:a16="http://schemas.microsoft.com/office/drawing/2014/main" id="{00000000-0008-0000-0900-000047AA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2857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652147" name="3 Imagen" descr="logo.jpg">
          <a:extLst>
            <a:ext uri="{FF2B5EF4-FFF2-40B4-BE49-F238E27FC236}">
              <a16:creationId xmlns="" xmlns:a16="http://schemas.microsoft.com/office/drawing/2014/main" id="{00000000-0008-0000-0A00-000033DE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123825</xdr:colOff>
      <xdr:row>22</xdr:row>
      <xdr:rowOff>114299</xdr:rowOff>
    </xdr:from>
    <xdr:to>
      <xdr:col>6</xdr:col>
      <xdr:colOff>1343025</xdr:colOff>
      <xdr:row>41</xdr:row>
      <xdr:rowOff>142874</xdr:rowOff>
    </xdr:to>
    <xdr:graphicFrame macro="">
      <xdr:nvGraphicFramePr>
        <xdr:cNvPr id="19652148" name="Gráfico 2">
          <a:extLst>
            <a:ext uri="{FF2B5EF4-FFF2-40B4-BE49-F238E27FC236}">
              <a16:creationId xmlns="" xmlns:a16="http://schemas.microsoft.com/office/drawing/2014/main" id="{00000000-0008-0000-0A00-000034DE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619125</xdr:colOff>
      <xdr:row>0</xdr:row>
      <xdr:rowOff>57150</xdr:rowOff>
    </xdr:from>
    <xdr:to>
      <xdr:col>1</xdr:col>
      <xdr:colOff>1259205</xdr:colOff>
      <xdr:row>0</xdr:row>
      <xdr:rowOff>796553</xdr:rowOff>
    </xdr:to>
    <xdr:pic>
      <xdr:nvPicPr>
        <xdr:cNvPr id="1965214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A00-000035DE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715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28575</xdr:rowOff>
    </xdr:from>
    <xdr:to>
      <xdr:col>6</xdr:col>
      <xdr:colOff>1268730</xdr:colOff>
      <xdr:row>0</xdr:row>
      <xdr:rowOff>862507</xdr:rowOff>
    </xdr:to>
    <xdr:pic>
      <xdr:nvPicPr>
        <xdr:cNvPr id="19652150" name="Imagen 7">
          <a:extLst>
            <a:ext uri="{FF2B5EF4-FFF2-40B4-BE49-F238E27FC236}">
              <a16:creationId xmlns="" xmlns:a16="http://schemas.microsoft.com/office/drawing/2014/main" id="{00000000-0008-0000-0A00-000036DE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28575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</xdr:row>
      <xdr:rowOff>47625</xdr:rowOff>
    </xdr:from>
    <xdr:to>
      <xdr:col>2</xdr:col>
      <xdr:colOff>800100</xdr:colOff>
      <xdr:row>26</xdr:row>
      <xdr:rowOff>97630</xdr:rowOff>
    </xdr:to>
    <xdr:graphicFrame macro="">
      <xdr:nvGraphicFramePr>
        <xdr:cNvPr id="19652151" name="Gráfico 3">
          <a:extLst>
            <a:ext uri="{FF2B5EF4-FFF2-40B4-BE49-F238E27FC236}">
              <a16:creationId xmlns="" xmlns:a16="http://schemas.microsoft.com/office/drawing/2014/main" id="{00000000-0008-0000-0A00-000037DE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658293" name="3 Imagen" descr="logo.jpg">
          <a:extLst>
            <a:ext uri="{FF2B5EF4-FFF2-40B4-BE49-F238E27FC236}">
              <a16:creationId xmlns="" xmlns:a16="http://schemas.microsoft.com/office/drawing/2014/main" id="{00000000-0008-0000-0D00-000035F6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57151</xdr:colOff>
      <xdr:row>20</xdr:row>
      <xdr:rowOff>114300</xdr:rowOff>
    </xdr:from>
    <xdr:to>
      <xdr:col>6</xdr:col>
      <xdr:colOff>1333500</xdr:colOff>
      <xdr:row>35</xdr:row>
      <xdr:rowOff>38100</xdr:rowOff>
    </xdr:to>
    <xdr:graphicFrame macro="">
      <xdr:nvGraphicFramePr>
        <xdr:cNvPr id="19658294" name="Gráfico 2">
          <a:extLst>
            <a:ext uri="{FF2B5EF4-FFF2-40B4-BE49-F238E27FC236}">
              <a16:creationId xmlns="" xmlns:a16="http://schemas.microsoft.com/office/drawing/2014/main" id="{00000000-0008-0000-0D00-000036F6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202142</xdr:colOff>
      <xdr:row>9</xdr:row>
      <xdr:rowOff>197908</xdr:rowOff>
    </xdr:from>
    <xdr:to>
      <xdr:col>3</xdr:col>
      <xdr:colOff>21167</xdr:colOff>
      <xdr:row>28</xdr:row>
      <xdr:rowOff>116416</xdr:rowOff>
    </xdr:to>
    <xdr:graphicFrame macro="">
      <xdr:nvGraphicFramePr>
        <xdr:cNvPr id="19658295" name="Gráfico 3">
          <a:extLst>
            <a:ext uri="{FF2B5EF4-FFF2-40B4-BE49-F238E27FC236}">
              <a16:creationId xmlns="" xmlns:a16="http://schemas.microsoft.com/office/drawing/2014/main" id="{00000000-0008-0000-0D00-000037F62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819150</xdr:colOff>
      <xdr:row>0</xdr:row>
      <xdr:rowOff>66675</xdr:rowOff>
    </xdr:from>
    <xdr:to>
      <xdr:col>1</xdr:col>
      <xdr:colOff>1459230</xdr:colOff>
      <xdr:row>0</xdr:row>
      <xdr:rowOff>806078</xdr:rowOff>
    </xdr:to>
    <xdr:pic>
      <xdr:nvPicPr>
        <xdr:cNvPr id="19658296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D00-000038F6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257174</xdr:colOff>
      <xdr:row>0</xdr:row>
      <xdr:rowOff>19050</xdr:rowOff>
    </xdr:from>
    <xdr:to>
      <xdr:col>6</xdr:col>
      <xdr:colOff>1268729</xdr:colOff>
      <xdr:row>0</xdr:row>
      <xdr:rowOff>831322</xdr:rowOff>
    </xdr:to>
    <xdr:pic>
      <xdr:nvPicPr>
        <xdr:cNvPr id="19658297" name="Imagen 7">
          <a:extLst>
            <a:ext uri="{FF2B5EF4-FFF2-40B4-BE49-F238E27FC236}">
              <a16:creationId xmlns="" xmlns:a16="http://schemas.microsoft.com/office/drawing/2014/main" id="{00000000-0008-0000-0D00-000039F62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399" y="19050"/>
          <a:ext cx="1011555" cy="812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415629" name="3 Imagen" descr="logo.jpg">
          <a:extLst>
            <a:ext uri="{FF2B5EF4-FFF2-40B4-BE49-F238E27FC236}">
              <a16:creationId xmlns="" xmlns:a16="http://schemas.microsoft.com/office/drawing/2014/main" id="{00000000-0008-0000-0B00-00004D4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395287</xdr:colOff>
      <xdr:row>20</xdr:row>
      <xdr:rowOff>178594</xdr:rowOff>
    </xdr:from>
    <xdr:to>
      <xdr:col>6</xdr:col>
      <xdr:colOff>1126331</xdr:colOff>
      <xdr:row>36</xdr:row>
      <xdr:rowOff>159544</xdr:rowOff>
    </xdr:to>
    <xdr:graphicFrame macro="">
      <xdr:nvGraphicFramePr>
        <xdr:cNvPr id="19415630" name="Gráfico 3">
          <a:extLst>
            <a:ext uri="{FF2B5EF4-FFF2-40B4-BE49-F238E27FC236}">
              <a16:creationId xmlns="" xmlns:a16="http://schemas.microsoft.com/office/drawing/2014/main" id="{00000000-0008-0000-0B00-00004E4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9</xdr:row>
      <xdr:rowOff>0</xdr:rowOff>
    </xdr:from>
    <xdr:to>
      <xdr:col>2</xdr:col>
      <xdr:colOff>752475</xdr:colOff>
      <xdr:row>24</xdr:row>
      <xdr:rowOff>0</xdr:rowOff>
    </xdr:to>
    <xdr:graphicFrame macro="">
      <xdr:nvGraphicFramePr>
        <xdr:cNvPr id="19415631" name="Gráfico 4">
          <a:extLst>
            <a:ext uri="{FF2B5EF4-FFF2-40B4-BE49-F238E27FC236}">
              <a16:creationId xmlns="" xmlns:a16="http://schemas.microsoft.com/office/drawing/2014/main" id="{00000000-0008-0000-0B00-00004F4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781050</xdr:colOff>
      <xdr:row>0</xdr:row>
      <xdr:rowOff>66675</xdr:rowOff>
    </xdr:from>
    <xdr:to>
      <xdr:col>1</xdr:col>
      <xdr:colOff>1421130</xdr:colOff>
      <xdr:row>0</xdr:row>
      <xdr:rowOff>806078</xdr:rowOff>
    </xdr:to>
    <xdr:pic>
      <xdr:nvPicPr>
        <xdr:cNvPr id="1941563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B00-0000504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180974</xdr:colOff>
      <xdr:row>0</xdr:row>
      <xdr:rowOff>19050</xdr:rowOff>
    </xdr:from>
    <xdr:to>
      <xdr:col>6</xdr:col>
      <xdr:colOff>1278254</xdr:colOff>
      <xdr:row>0</xdr:row>
      <xdr:rowOff>827240</xdr:rowOff>
    </xdr:to>
    <xdr:pic>
      <xdr:nvPicPr>
        <xdr:cNvPr id="19415633" name="Imagen 7">
          <a:extLst>
            <a:ext uri="{FF2B5EF4-FFF2-40B4-BE49-F238E27FC236}">
              <a16:creationId xmlns="" xmlns:a16="http://schemas.microsoft.com/office/drawing/2014/main" id="{00000000-0008-0000-0B00-0000514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99" y="19050"/>
          <a:ext cx="1097280" cy="808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419724" name="3 Imagen" descr="logo.jpg">
          <a:extLst>
            <a:ext uri="{FF2B5EF4-FFF2-40B4-BE49-F238E27FC236}">
              <a16:creationId xmlns="" xmlns:a16="http://schemas.microsoft.com/office/drawing/2014/main" id="{00000000-0008-0000-0C00-00004C5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</xdr:colOff>
      <xdr:row>19</xdr:row>
      <xdr:rowOff>38099</xdr:rowOff>
    </xdr:from>
    <xdr:to>
      <xdr:col>6</xdr:col>
      <xdr:colOff>1343025</xdr:colOff>
      <xdr:row>34</xdr:row>
      <xdr:rowOff>9524</xdr:rowOff>
    </xdr:to>
    <xdr:graphicFrame macro="">
      <xdr:nvGraphicFramePr>
        <xdr:cNvPr id="19419725" name="Gráfico 2">
          <a:extLst>
            <a:ext uri="{FF2B5EF4-FFF2-40B4-BE49-F238E27FC236}">
              <a16:creationId xmlns="" xmlns:a16="http://schemas.microsoft.com/office/drawing/2014/main" id="{00000000-0008-0000-0C00-00004D5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10</xdr:row>
      <xdr:rowOff>28575</xdr:rowOff>
    </xdr:from>
    <xdr:to>
      <xdr:col>2</xdr:col>
      <xdr:colOff>666750</xdr:colOff>
      <xdr:row>26</xdr:row>
      <xdr:rowOff>9525</xdr:rowOff>
    </xdr:to>
    <xdr:graphicFrame macro="">
      <xdr:nvGraphicFramePr>
        <xdr:cNvPr id="19419726" name="Gráfico 4">
          <a:extLst>
            <a:ext uri="{FF2B5EF4-FFF2-40B4-BE49-F238E27FC236}">
              <a16:creationId xmlns="" xmlns:a16="http://schemas.microsoft.com/office/drawing/2014/main" id="{00000000-0008-0000-0C00-00004E522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762000</xdr:colOff>
      <xdr:row>0</xdr:row>
      <xdr:rowOff>76200</xdr:rowOff>
    </xdr:from>
    <xdr:to>
      <xdr:col>1</xdr:col>
      <xdr:colOff>1402080</xdr:colOff>
      <xdr:row>0</xdr:row>
      <xdr:rowOff>815603</xdr:rowOff>
    </xdr:to>
    <xdr:pic>
      <xdr:nvPicPr>
        <xdr:cNvPr id="1941972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C00-00004F5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247649</xdr:colOff>
      <xdr:row>0</xdr:row>
      <xdr:rowOff>28575</xdr:rowOff>
    </xdr:from>
    <xdr:to>
      <xdr:col>6</xdr:col>
      <xdr:colOff>1259204</xdr:colOff>
      <xdr:row>0</xdr:row>
      <xdr:rowOff>862507</xdr:rowOff>
    </xdr:to>
    <xdr:pic>
      <xdr:nvPicPr>
        <xdr:cNvPr id="19419728" name="Imagen 7">
          <a:extLst>
            <a:ext uri="{FF2B5EF4-FFF2-40B4-BE49-F238E27FC236}">
              <a16:creationId xmlns="" xmlns:a16="http://schemas.microsoft.com/office/drawing/2014/main" id="{00000000-0008-0000-0C00-000050522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4" y="28575"/>
          <a:ext cx="1011555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758631" name="3 Imagen" descr="logo.jpg">
          <a:extLst>
            <a:ext uri="{FF2B5EF4-FFF2-40B4-BE49-F238E27FC236}">
              <a16:creationId xmlns="" xmlns:a16="http://schemas.microsoft.com/office/drawing/2014/main" id="{00000000-0008-0000-0E00-0000277E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81491</xdr:colOff>
      <xdr:row>10</xdr:row>
      <xdr:rowOff>31750</xdr:rowOff>
    </xdr:from>
    <xdr:to>
      <xdr:col>2</xdr:col>
      <xdr:colOff>910166</xdr:colOff>
      <xdr:row>26</xdr:row>
      <xdr:rowOff>164042</xdr:rowOff>
    </xdr:to>
    <xdr:graphicFrame macro="">
      <xdr:nvGraphicFramePr>
        <xdr:cNvPr id="19758632" name="Gráfico 1">
          <a:extLst>
            <a:ext uri="{FF2B5EF4-FFF2-40B4-BE49-F238E27FC236}">
              <a16:creationId xmlns="" xmlns:a16="http://schemas.microsoft.com/office/drawing/2014/main" id="{00000000-0008-0000-0E00-0000287E2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428625</xdr:colOff>
      <xdr:row>21</xdr:row>
      <xdr:rowOff>161925</xdr:rowOff>
    </xdr:from>
    <xdr:to>
      <xdr:col>6</xdr:col>
      <xdr:colOff>1304925</xdr:colOff>
      <xdr:row>37</xdr:row>
      <xdr:rowOff>85725</xdr:rowOff>
    </xdr:to>
    <xdr:graphicFrame macro="">
      <xdr:nvGraphicFramePr>
        <xdr:cNvPr id="19758633" name="Gráfico 2">
          <a:extLst>
            <a:ext uri="{FF2B5EF4-FFF2-40B4-BE49-F238E27FC236}">
              <a16:creationId xmlns="" xmlns:a16="http://schemas.microsoft.com/office/drawing/2014/main" id="{00000000-0008-0000-0E00-0000297E2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571500</xdr:colOff>
      <xdr:row>0</xdr:row>
      <xdr:rowOff>66675</xdr:rowOff>
    </xdr:from>
    <xdr:to>
      <xdr:col>1</xdr:col>
      <xdr:colOff>1211580</xdr:colOff>
      <xdr:row>0</xdr:row>
      <xdr:rowOff>806078</xdr:rowOff>
    </xdr:to>
    <xdr:pic>
      <xdr:nvPicPr>
        <xdr:cNvPr id="19758634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E00-00002A7E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0</xdr:row>
      <xdr:rowOff>28575</xdr:rowOff>
    </xdr:from>
    <xdr:to>
      <xdr:col>6</xdr:col>
      <xdr:colOff>1259204</xdr:colOff>
      <xdr:row>0</xdr:row>
      <xdr:rowOff>854251</xdr:rowOff>
    </xdr:to>
    <xdr:pic>
      <xdr:nvPicPr>
        <xdr:cNvPr id="19758635" name="Imagen 7">
          <a:extLst>
            <a:ext uri="{FF2B5EF4-FFF2-40B4-BE49-F238E27FC236}">
              <a16:creationId xmlns="" xmlns:a16="http://schemas.microsoft.com/office/drawing/2014/main" id="{00000000-0008-0000-0E00-00002B7E2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8575"/>
          <a:ext cx="1011554" cy="825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7070926" name="3 Imagen" descr="logo.jpg">
          <a:extLst>
            <a:ext uri="{FF2B5EF4-FFF2-40B4-BE49-F238E27FC236}">
              <a16:creationId xmlns="" xmlns:a16="http://schemas.microsoft.com/office/drawing/2014/main" id="{00000000-0008-0000-0F00-00004E7B0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532293</xdr:colOff>
      <xdr:row>39</xdr:row>
      <xdr:rowOff>3988</xdr:rowOff>
    </xdr:from>
    <xdr:to>
      <xdr:col>7</xdr:col>
      <xdr:colOff>16171</xdr:colOff>
      <xdr:row>57</xdr:row>
      <xdr:rowOff>165913</xdr:rowOff>
    </xdr:to>
    <xdr:graphicFrame macro="">
      <xdr:nvGraphicFramePr>
        <xdr:cNvPr id="17070927" name="Gráfico 2">
          <a:extLst>
            <a:ext uri="{FF2B5EF4-FFF2-40B4-BE49-F238E27FC236}">
              <a16:creationId xmlns="" xmlns:a16="http://schemas.microsoft.com/office/drawing/2014/main" id="{00000000-0008-0000-0F00-00004F7B0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469900</xdr:colOff>
      <xdr:row>26</xdr:row>
      <xdr:rowOff>159544</xdr:rowOff>
    </xdr:from>
    <xdr:to>
      <xdr:col>2</xdr:col>
      <xdr:colOff>866775</xdr:colOff>
      <xdr:row>42</xdr:row>
      <xdr:rowOff>54769</xdr:rowOff>
    </xdr:to>
    <xdr:graphicFrame macro="">
      <xdr:nvGraphicFramePr>
        <xdr:cNvPr id="17070928" name="Gráfico 3">
          <a:extLst>
            <a:ext uri="{FF2B5EF4-FFF2-40B4-BE49-F238E27FC236}">
              <a16:creationId xmlns="" xmlns:a16="http://schemas.microsoft.com/office/drawing/2014/main" id="{00000000-0008-0000-0F00-0000507B0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583406</xdr:colOff>
      <xdr:row>0</xdr:row>
      <xdr:rowOff>66675</xdr:rowOff>
    </xdr:from>
    <xdr:to>
      <xdr:col>1</xdr:col>
      <xdr:colOff>1223486</xdr:colOff>
      <xdr:row>0</xdr:row>
      <xdr:rowOff>806078</xdr:rowOff>
    </xdr:to>
    <xdr:pic>
      <xdr:nvPicPr>
        <xdr:cNvPr id="1707092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F00-0000517B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247648</xdr:colOff>
      <xdr:row>0</xdr:row>
      <xdr:rowOff>0</xdr:rowOff>
    </xdr:from>
    <xdr:to>
      <xdr:col>6</xdr:col>
      <xdr:colOff>1344928</xdr:colOff>
      <xdr:row>1</xdr:row>
      <xdr:rowOff>24156</xdr:rowOff>
    </xdr:to>
    <xdr:pic>
      <xdr:nvPicPr>
        <xdr:cNvPr id="17070930" name="Imagen 7">
          <a:extLst>
            <a:ext uri="{FF2B5EF4-FFF2-40B4-BE49-F238E27FC236}">
              <a16:creationId xmlns="" xmlns:a16="http://schemas.microsoft.com/office/drawing/2014/main" id="{00000000-0008-0000-0F00-0000527B0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1304" y="0"/>
          <a:ext cx="1097280" cy="905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830251</xdr:colOff>
      <xdr:row>0</xdr:row>
      <xdr:rowOff>158749</xdr:rowOff>
    </xdr:from>
    <xdr:to>
      <xdr:col>0</xdr:col>
      <xdr:colOff>1870982</xdr:colOff>
      <xdr:row>0</xdr:row>
      <xdr:rowOff>1338034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="" xmlns:a16="http://schemas.microsoft.com/office/drawing/2014/main" id="{1ACEB2E9-4320-40E7-ACDD-488F25F0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251" y="158749"/>
          <a:ext cx="1040731" cy="1179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0</xdr:row>
      <xdr:rowOff>0</xdr:rowOff>
    </xdr:from>
    <xdr:to>
      <xdr:col>5</xdr:col>
      <xdr:colOff>1984375</xdr:colOff>
      <xdr:row>0</xdr:row>
      <xdr:rowOff>1517611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8EE87E2A-E643-4204-8FC3-E1CA63992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6964" y="0"/>
          <a:ext cx="1508125" cy="1517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19712559" name="3 Imagen" descr="logo.jpg">
          <a:extLst>
            <a:ext uri="{FF2B5EF4-FFF2-40B4-BE49-F238E27FC236}">
              <a16:creationId xmlns="" xmlns:a16="http://schemas.microsoft.com/office/drawing/2014/main" id="{00000000-0008-0000-1000-00002FCA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</xdr:colOff>
      <xdr:row>21</xdr:row>
      <xdr:rowOff>38100</xdr:rowOff>
    </xdr:from>
    <xdr:to>
      <xdr:col>6</xdr:col>
      <xdr:colOff>1362075</xdr:colOff>
      <xdr:row>36</xdr:row>
      <xdr:rowOff>47625</xdr:rowOff>
    </xdr:to>
    <xdr:graphicFrame macro="">
      <xdr:nvGraphicFramePr>
        <xdr:cNvPr id="19712560" name="Gráfico 5">
          <a:extLst>
            <a:ext uri="{FF2B5EF4-FFF2-40B4-BE49-F238E27FC236}">
              <a16:creationId xmlns="" xmlns:a16="http://schemas.microsoft.com/office/drawing/2014/main" id="{00000000-0008-0000-1000-000030CA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12</xdr:row>
      <xdr:rowOff>47625</xdr:rowOff>
    </xdr:from>
    <xdr:to>
      <xdr:col>2</xdr:col>
      <xdr:colOff>638175</xdr:colOff>
      <xdr:row>27</xdr:row>
      <xdr:rowOff>38100</xdr:rowOff>
    </xdr:to>
    <xdr:graphicFrame macro="">
      <xdr:nvGraphicFramePr>
        <xdr:cNvPr id="19712561" name="Gráfico 1">
          <a:extLst>
            <a:ext uri="{FF2B5EF4-FFF2-40B4-BE49-F238E27FC236}">
              <a16:creationId xmlns="" xmlns:a16="http://schemas.microsoft.com/office/drawing/2014/main" id="{00000000-0008-0000-1000-000031CA2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762000</xdr:colOff>
      <xdr:row>0</xdr:row>
      <xdr:rowOff>38100</xdr:rowOff>
    </xdr:from>
    <xdr:to>
      <xdr:col>1</xdr:col>
      <xdr:colOff>1402080</xdr:colOff>
      <xdr:row>0</xdr:row>
      <xdr:rowOff>777503</xdr:rowOff>
    </xdr:to>
    <xdr:pic>
      <xdr:nvPicPr>
        <xdr:cNvPr id="1971256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000-000032CA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810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0</xdr:row>
      <xdr:rowOff>0</xdr:rowOff>
    </xdr:from>
    <xdr:to>
      <xdr:col>6</xdr:col>
      <xdr:colOff>1278255</xdr:colOff>
      <xdr:row>0</xdr:row>
      <xdr:rowOff>833932</xdr:rowOff>
    </xdr:to>
    <xdr:pic>
      <xdr:nvPicPr>
        <xdr:cNvPr id="19712563" name="Imagen 7">
          <a:extLst>
            <a:ext uri="{FF2B5EF4-FFF2-40B4-BE49-F238E27FC236}">
              <a16:creationId xmlns="" xmlns:a16="http://schemas.microsoft.com/office/drawing/2014/main" id="{00000000-0008-0000-1000-000033CA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2</xdr:row>
      <xdr:rowOff>104775</xdr:rowOff>
    </xdr:to>
    <xdr:pic>
      <xdr:nvPicPr>
        <xdr:cNvPr id="20484572" name="3 Imagen" descr="logo.jpg">
          <a:extLst>
            <a:ext uri="{FF2B5EF4-FFF2-40B4-BE49-F238E27FC236}">
              <a16:creationId xmlns="" xmlns:a16="http://schemas.microsoft.com/office/drawing/2014/main" id="{00000000-0008-0000-1100-0000DC913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47626</xdr:colOff>
      <xdr:row>17</xdr:row>
      <xdr:rowOff>171450</xdr:rowOff>
    </xdr:from>
    <xdr:to>
      <xdr:col>6</xdr:col>
      <xdr:colOff>1323976</xdr:colOff>
      <xdr:row>32</xdr:row>
      <xdr:rowOff>47625</xdr:rowOff>
    </xdr:to>
    <xdr:graphicFrame macro="">
      <xdr:nvGraphicFramePr>
        <xdr:cNvPr id="20484573" name="Gráfico 5">
          <a:extLst>
            <a:ext uri="{FF2B5EF4-FFF2-40B4-BE49-F238E27FC236}">
              <a16:creationId xmlns="" xmlns:a16="http://schemas.microsoft.com/office/drawing/2014/main" id="{00000000-0008-0000-1100-0000DD913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7</xdr:row>
      <xdr:rowOff>0</xdr:rowOff>
    </xdr:from>
    <xdr:to>
      <xdr:col>2</xdr:col>
      <xdr:colOff>819150</xdr:colOff>
      <xdr:row>23</xdr:row>
      <xdr:rowOff>104775</xdr:rowOff>
    </xdr:to>
    <xdr:graphicFrame macro="">
      <xdr:nvGraphicFramePr>
        <xdr:cNvPr id="20484574" name="Gráfico 1">
          <a:extLst>
            <a:ext uri="{FF2B5EF4-FFF2-40B4-BE49-F238E27FC236}">
              <a16:creationId xmlns="" xmlns:a16="http://schemas.microsoft.com/office/drawing/2014/main" id="{00000000-0008-0000-1100-0000DE913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819150</xdr:colOff>
      <xdr:row>0</xdr:row>
      <xdr:rowOff>0</xdr:rowOff>
    </xdr:from>
    <xdr:to>
      <xdr:col>1</xdr:col>
      <xdr:colOff>1459230</xdr:colOff>
      <xdr:row>0</xdr:row>
      <xdr:rowOff>739403</xdr:rowOff>
    </xdr:to>
    <xdr:pic>
      <xdr:nvPicPr>
        <xdr:cNvPr id="20484575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100-0000DF91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200024</xdr:colOff>
      <xdr:row>0</xdr:row>
      <xdr:rowOff>9524</xdr:rowOff>
    </xdr:from>
    <xdr:to>
      <xdr:col>6</xdr:col>
      <xdr:colOff>1297304</xdr:colOff>
      <xdr:row>0</xdr:row>
      <xdr:rowOff>840797</xdr:rowOff>
    </xdr:to>
    <xdr:pic>
      <xdr:nvPicPr>
        <xdr:cNvPr id="20484576" name="Imagen 7">
          <a:extLst>
            <a:ext uri="{FF2B5EF4-FFF2-40B4-BE49-F238E27FC236}">
              <a16:creationId xmlns="" xmlns:a16="http://schemas.microsoft.com/office/drawing/2014/main" id="{00000000-0008-0000-1100-0000E0913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49" y="9524"/>
          <a:ext cx="1097280" cy="831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11</xdr:row>
      <xdr:rowOff>57149</xdr:rowOff>
    </xdr:from>
    <xdr:to>
      <xdr:col>2</xdr:col>
      <xdr:colOff>685799</xdr:colOff>
      <xdr:row>26</xdr:row>
      <xdr:rowOff>161924</xdr:rowOff>
    </xdr:to>
    <xdr:graphicFrame macro="">
      <xdr:nvGraphicFramePr>
        <xdr:cNvPr id="14992214" name="Gráfico 1">
          <a:extLst>
            <a:ext uri="{FF2B5EF4-FFF2-40B4-BE49-F238E27FC236}">
              <a16:creationId xmlns="" xmlns:a16="http://schemas.microsoft.com/office/drawing/2014/main" id="{00000000-0008-0000-1200-000056C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20</xdr:row>
      <xdr:rowOff>6350</xdr:rowOff>
    </xdr:from>
    <xdr:to>
      <xdr:col>6</xdr:col>
      <xdr:colOff>1365250</xdr:colOff>
      <xdr:row>35</xdr:row>
      <xdr:rowOff>123825</xdr:rowOff>
    </xdr:to>
    <xdr:graphicFrame macro="">
      <xdr:nvGraphicFramePr>
        <xdr:cNvPr id="14992215" name="Gráfico 2">
          <a:extLst>
            <a:ext uri="{FF2B5EF4-FFF2-40B4-BE49-F238E27FC236}">
              <a16:creationId xmlns="" xmlns:a16="http://schemas.microsoft.com/office/drawing/2014/main" id="{00000000-0008-0000-1200-000057C3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771525</xdr:colOff>
      <xdr:row>0</xdr:row>
      <xdr:rowOff>66675</xdr:rowOff>
    </xdr:from>
    <xdr:to>
      <xdr:col>1</xdr:col>
      <xdr:colOff>1411605</xdr:colOff>
      <xdr:row>0</xdr:row>
      <xdr:rowOff>806078</xdr:rowOff>
    </xdr:to>
    <xdr:pic>
      <xdr:nvPicPr>
        <xdr:cNvPr id="14992216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200-000058C3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6</xdr:col>
      <xdr:colOff>1230630</xdr:colOff>
      <xdr:row>0</xdr:row>
      <xdr:rowOff>833932</xdr:rowOff>
    </xdr:to>
    <xdr:pic>
      <xdr:nvPicPr>
        <xdr:cNvPr id="14992217" name="Imagen 6">
          <a:extLst>
            <a:ext uri="{FF2B5EF4-FFF2-40B4-BE49-F238E27FC236}">
              <a16:creationId xmlns="" xmlns:a16="http://schemas.microsoft.com/office/drawing/2014/main" id="{00000000-0008-0000-1200-000059C3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200024</xdr:rowOff>
    </xdr:from>
    <xdr:to>
      <xdr:col>2</xdr:col>
      <xdr:colOff>838200</xdr:colOff>
      <xdr:row>24</xdr:row>
      <xdr:rowOff>180974</xdr:rowOff>
    </xdr:to>
    <xdr:graphicFrame macro="">
      <xdr:nvGraphicFramePr>
        <xdr:cNvPr id="16616137" name="Gráfico 1">
          <a:extLst>
            <a:ext uri="{FF2B5EF4-FFF2-40B4-BE49-F238E27FC236}">
              <a16:creationId xmlns="" xmlns:a16="http://schemas.microsoft.com/office/drawing/2014/main" id="{00000000-0008-0000-1300-0000C98A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104775</xdr:colOff>
      <xdr:row>19</xdr:row>
      <xdr:rowOff>88900</xdr:rowOff>
    </xdr:from>
    <xdr:to>
      <xdr:col>6</xdr:col>
      <xdr:colOff>1327150</xdr:colOff>
      <xdr:row>35</xdr:row>
      <xdr:rowOff>95250</xdr:rowOff>
    </xdr:to>
    <xdr:graphicFrame macro="">
      <xdr:nvGraphicFramePr>
        <xdr:cNvPr id="16616138" name="Gráfico 2">
          <a:extLst>
            <a:ext uri="{FF2B5EF4-FFF2-40B4-BE49-F238E27FC236}">
              <a16:creationId xmlns="" xmlns:a16="http://schemas.microsoft.com/office/drawing/2014/main" id="{00000000-0008-0000-1300-0000CA8A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752475</xdr:colOff>
      <xdr:row>0</xdr:row>
      <xdr:rowOff>66675</xdr:rowOff>
    </xdr:from>
    <xdr:to>
      <xdr:col>1</xdr:col>
      <xdr:colOff>1392555</xdr:colOff>
      <xdr:row>0</xdr:row>
      <xdr:rowOff>806078</xdr:rowOff>
    </xdr:to>
    <xdr:pic>
      <xdr:nvPicPr>
        <xdr:cNvPr id="1661613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300-0000CB8A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0</xdr:row>
      <xdr:rowOff>57150</xdr:rowOff>
    </xdr:from>
    <xdr:to>
      <xdr:col>6</xdr:col>
      <xdr:colOff>1240155</xdr:colOff>
      <xdr:row>1</xdr:row>
      <xdr:rowOff>5257</xdr:rowOff>
    </xdr:to>
    <xdr:pic>
      <xdr:nvPicPr>
        <xdr:cNvPr id="16616140" name="Imagen 6">
          <a:extLst>
            <a:ext uri="{FF2B5EF4-FFF2-40B4-BE49-F238E27FC236}">
              <a16:creationId xmlns="" xmlns:a16="http://schemas.microsoft.com/office/drawing/2014/main" id="{00000000-0008-0000-1300-0000CC8AF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5715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1314952" name="3 Imagen" descr="logo.jpg">
          <a:extLst>
            <a:ext uri="{FF2B5EF4-FFF2-40B4-BE49-F238E27FC236}">
              <a16:creationId xmlns="" xmlns:a16="http://schemas.microsoft.com/office/drawing/2014/main" id="{00000000-0008-0000-1400-0000883D4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200818</xdr:colOff>
      <xdr:row>29</xdr:row>
      <xdr:rowOff>69850</xdr:rowOff>
    </xdr:from>
    <xdr:to>
      <xdr:col>2</xdr:col>
      <xdr:colOff>1047749</xdr:colOff>
      <xdr:row>48</xdr:row>
      <xdr:rowOff>79376</xdr:rowOff>
    </xdr:to>
    <xdr:graphicFrame macro="">
      <xdr:nvGraphicFramePr>
        <xdr:cNvPr id="21314953" name="Gráfico 1">
          <a:extLst>
            <a:ext uri="{FF2B5EF4-FFF2-40B4-BE49-F238E27FC236}">
              <a16:creationId xmlns="" xmlns:a16="http://schemas.microsoft.com/office/drawing/2014/main" id="{00000000-0008-0000-1400-0000893D4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349249</xdr:colOff>
      <xdr:row>41</xdr:row>
      <xdr:rowOff>15875</xdr:rowOff>
    </xdr:from>
    <xdr:to>
      <xdr:col>6</xdr:col>
      <xdr:colOff>396874</xdr:colOff>
      <xdr:row>56</xdr:row>
      <xdr:rowOff>31750</xdr:rowOff>
    </xdr:to>
    <xdr:graphicFrame macro="">
      <xdr:nvGraphicFramePr>
        <xdr:cNvPr id="21314954" name="Gráfico 2">
          <a:extLst>
            <a:ext uri="{FF2B5EF4-FFF2-40B4-BE49-F238E27FC236}">
              <a16:creationId xmlns="" xmlns:a16="http://schemas.microsoft.com/office/drawing/2014/main" id="{00000000-0008-0000-1400-00008A3D4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800100</xdr:colOff>
      <xdr:row>0</xdr:row>
      <xdr:rowOff>66675</xdr:rowOff>
    </xdr:from>
    <xdr:to>
      <xdr:col>1</xdr:col>
      <xdr:colOff>1440180</xdr:colOff>
      <xdr:row>0</xdr:row>
      <xdr:rowOff>806078</xdr:rowOff>
    </xdr:to>
    <xdr:pic>
      <xdr:nvPicPr>
        <xdr:cNvPr id="21314955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400-00008B3D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0</xdr:row>
      <xdr:rowOff>0</xdr:rowOff>
    </xdr:from>
    <xdr:to>
      <xdr:col>6</xdr:col>
      <xdr:colOff>1202055</xdr:colOff>
      <xdr:row>0</xdr:row>
      <xdr:rowOff>833932</xdr:rowOff>
    </xdr:to>
    <xdr:pic>
      <xdr:nvPicPr>
        <xdr:cNvPr id="21314956" name="Imagen 7">
          <a:extLst>
            <a:ext uri="{FF2B5EF4-FFF2-40B4-BE49-F238E27FC236}">
              <a16:creationId xmlns="" xmlns:a16="http://schemas.microsoft.com/office/drawing/2014/main" id="{00000000-0008-0000-1400-00008C3D4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0"/>
          <a:ext cx="10972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1365126" name="3 Imagen" descr="logo.jpg">
          <a:extLst>
            <a:ext uri="{FF2B5EF4-FFF2-40B4-BE49-F238E27FC236}">
              <a16:creationId xmlns="" xmlns:a16="http://schemas.microsoft.com/office/drawing/2014/main" id="{00000000-0008-0000-1500-000086014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19049</xdr:colOff>
      <xdr:row>10</xdr:row>
      <xdr:rowOff>171450</xdr:rowOff>
    </xdr:from>
    <xdr:to>
      <xdr:col>1</xdr:col>
      <xdr:colOff>4593166</xdr:colOff>
      <xdr:row>27</xdr:row>
      <xdr:rowOff>179916</xdr:rowOff>
    </xdr:to>
    <xdr:graphicFrame macro="">
      <xdr:nvGraphicFramePr>
        <xdr:cNvPr id="21365127" name="Gráfico 1">
          <a:extLst>
            <a:ext uri="{FF2B5EF4-FFF2-40B4-BE49-F238E27FC236}">
              <a16:creationId xmlns="" xmlns:a16="http://schemas.microsoft.com/office/drawing/2014/main" id="{00000000-0008-0000-1500-00008701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1322564</xdr:colOff>
      <xdr:row>22</xdr:row>
      <xdr:rowOff>50094</xdr:rowOff>
    </xdr:from>
    <xdr:to>
      <xdr:col>6</xdr:col>
      <xdr:colOff>947561</xdr:colOff>
      <xdr:row>37</xdr:row>
      <xdr:rowOff>97719</xdr:rowOff>
    </xdr:to>
    <xdr:graphicFrame macro="">
      <xdr:nvGraphicFramePr>
        <xdr:cNvPr id="21365128" name="Gráfico 2">
          <a:extLst>
            <a:ext uri="{FF2B5EF4-FFF2-40B4-BE49-F238E27FC236}">
              <a16:creationId xmlns="" xmlns:a16="http://schemas.microsoft.com/office/drawing/2014/main" id="{00000000-0008-0000-1500-000088014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797982</xdr:colOff>
      <xdr:row>0</xdr:row>
      <xdr:rowOff>11642</xdr:rowOff>
    </xdr:from>
    <xdr:to>
      <xdr:col>1</xdr:col>
      <xdr:colOff>1438062</xdr:colOff>
      <xdr:row>0</xdr:row>
      <xdr:rowOff>764017</xdr:rowOff>
    </xdr:to>
    <xdr:pic>
      <xdr:nvPicPr>
        <xdr:cNvPr id="21365129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500-00008901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65" y="11642"/>
          <a:ext cx="640080" cy="75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1247774</xdr:colOff>
      <xdr:row>0</xdr:row>
      <xdr:rowOff>49742</xdr:rowOff>
    </xdr:from>
    <xdr:to>
      <xdr:col>6</xdr:col>
      <xdr:colOff>699346</xdr:colOff>
      <xdr:row>1</xdr:row>
      <xdr:rowOff>1568</xdr:rowOff>
    </xdr:to>
    <xdr:pic>
      <xdr:nvPicPr>
        <xdr:cNvPr id="21365130" name="Imagen 7">
          <a:extLst>
            <a:ext uri="{FF2B5EF4-FFF2-40B4-BE49-F238E27FC236}">
              <a16:creationId xmlns="" xmlns:a16="http://schemas.microsoft.com/office/drawing/2014/main" id="{00000000-0008-0000-1500-00008A014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4691" y="49742"/>
          <a:ext cx="1097280" cy="830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75</xdr:row>
      <xdr:rowOff>142875</xdr:rowOff>
    </xdr:from>
    <xdr:to>
      <xdr:col>6</xdr:col>
      <xdr:colOff>1348920</xdr:colOff>
      <xdr:row>95</xdr:row>
      <xdr:rowOff>19050</xdr:rowOff>
    </xdr:to>
    <xdr:graphicFrame macro="">
      <xdr:nvGraphicFramePr>
        <xdr:cNvPr id="16022271" name="Gráfico 3">
          <a:extLst>
            <a:ext uri="{FF2B5EF4-FFF2-40B4-BE49-F238E27FC236}">
              <a16:creationId xmlns="" xmlns:a16="http://schemas.microsoft.com/office/drawing/2014/main" id="{00000000-0008-0000-1600-0000FF7AF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355146</xdr:colOff>
      <xdr:row>1</xdr:row>
      <xdr:rowOff>127907</xdr:rowOff>
    </xdr:from>
    <xdr:to>
      <xdr:col>1</xdr:col>
      <xdr:colOff>995226</xdr:colOff>
      <xdr:row>1</xdr:row>
      <xdr:rowOff>874114</xdr:rowOff>
    </xdr:to>
    <xdr:pic>
      <xdr:nvPicPr>
        <xdr:cNvPr id="16022272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600-0000007B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71" y="334282"/>
          <a:ext cx="640080" cy="746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</xdr:colOff>
      <xdr:row>0</xdr:row>
      <xdr:rowOff>142875</xdr:rowOff>
    </xdr:from>
    <xdr:to>
      <xdr:col>6</xdr:col>
      <xdr:colOff>1240154</xdr:colOff>
      <xdr:row>1</xdr:row>
      <xdr:rowOff>791556</xdr:rowOff>
    </xdr:to>
    <xdr:pic>
      <xdr:nvPicPr>
        <xdr:cNvPr id="16022273" name="Imagen 6">
          <a:extLst>
            <a:ext uri="{FF2B5EF4-FFF2-40B4-BE49-F238E27FC236}">
              <a16:creationId xmlns="" xmlns:a16="http://schemas.microsoft.com/office/drawing/2014/main" id="{00000000-0008-0000-1600-0000017BF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142875"/>
          <a:ext cx="935354" cy="84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67</xdr:row>
      <xdr:rowOff>114299</xdr:rowOff>
    </xdr:from>
    <xdr:to>
      <xdr:col>2</xdr:col>
      <xdr:colOff>742950</xdr:colOff>
      <xdr:row>85</xdr:row>
      <xdr:rowOff>142874</xdr:rowOff>
    </xdr:to>
    <xdr:graphicFrame macro="">
      <xdr:nvGraphicFramePr>
        <xdr:cNvPr id="6" name="Gráfico 1">
          <a:extLst>
            <a:ext uri="{FF2B5EF4-FFF2-40B4-BE49-F238E27FC236}">
              <a16:creationId xmlns=""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18</xdr:row>
      <xdr:rowOff>9524</xdr:rowOff>
    </xdr:from>
    <xdr:to>
      <xdr:col>2</xdr:col>
      <xdr:colOff>676274</xdr:colOff>
      <xdr:row>33</xdr:row>
      <xdr:rowOff>104774</xdr:rowOff>
    </xdr:to>
    <xdr:graphicFrame macro="">
      <xdr:nvGraphicFramePr>
        <xdr:cNvPr id="15003479" name="Gráfico 1">
          <a:extLst>
            <a:ext uri="{FF2B5EF4-FFF2-40B4-BE49-F238E27FC236}">
              <a16:creationId xmlns="" xmlns:a16="http://schemas.microsoft.com/office/drawing/2014/main" id="{00000000-0008-0000-1700-000057EF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1098550</xdr:colOff>
      <xdr:row>30</xdr:row>
      <xdr:rowOff>2116</xdr:rowOff>
    </xdr:from>
    <xdr:to>
      <xdr:col>6</xdr:col>
      <xdr:colOff>993775</xdr:colOff>
      <xdr:row>44</xdr:row>
      <xdr:rowOff>106891</xdr:rowOff>
    </xdr:to>
    <xdr:graphicFrame macro="">
      <xdr:nvGraphicFramePr>
        <xdr:cNvPr id="15003480" name="Gráfico 2">
          <a:extLst>
            <a:ext uri="{FF2B5EF4-FFF2-40B4-BE49-F238E27FC236}">
              <a16:creationId xmlns="" xmlns:a16="http://schemas.microsoft.com/office/drawing/2014/main" id="{00000000-0008-0000-1700-000058EFE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942974</xdr:colOff>
      <xdr:row>0</xdr:row>
      <xdr:rowOff>66674</xdr:rowOff>
    </xdr:from>
    <xdr:to>
      <xdr:col>1</xdr:col>
      <xdr:colOff>1583054</xdr:colOff>
      <xdr:row>0</xdr:row>
      <xdr:rowOff>803254</xdr:rowOff>
    </xdr:to>
    <xdr:pic>
      <xdr:nvPicPr>
        <xdr:cNvPr id="15003481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700-000059EF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" y="66674"/>
          <a:ext cx="640080" cy="736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200024</xdr:colOff>
      <xdr:row>0</xdr:row>
      <xdr:rowOff>0</xdr:rowOff>
    </xdr:from>
    <xdr:to>
      <xdr:col>6</xdr:col>
      <xdr:colOff>1297304</xdr:colOff>
      <xdr:row>0</xdr:row>
      <xdr:rowOff>842356</xdr:rowOff>
    </xdr:to>
    <xdr:pic>
      <xdr:nvPicPr>
        <xdr:cNvPr id="15003482" name="Imagen 6">
          <a:extLst>
            <a:ext uri="{FF2B5EF4-FFF2-40B4-BE49-F238E27FC236}">
              <a16:creationId xmlns="" xmlns:a16="http://schemas.microsoft.com/office/drawing/2014/main" id="{00000000-0008-0000-1700-00005AEFE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49" y="0"/>
          <a:ext cx="1097280" cy="842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18</xdr:row>
      <xdr:rowOff>57150</xdr:rowOff>
    </xdr:from>
    <xdr:to>
      <xdr:col>7</xdr:col>
      <xdr:colOff>0</xdr:colOff>
      <xdr:row>34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752475</xdr:colOff>
      <xdr:row>0</xdr:row>
      <xdr:rowOff>66675</xdr:rowOff>
    </xdr:from>
    <xdr:to>
      <xdr:col>1</xdr:col>
      <xdr:colOff>1392555</xdr:colOff>
      <xdr:row>0</xdr:row>
      <xdr:rowOff>806078</xdr:rowOff>
    </xdr:to>
    <xdr:pic>
      <xdr:nvPicPr>
        <xdr:cNvPr id="4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66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9525</xdr:rowOff>
    </xdr:from>
    <xdr:to>
      <xdr:col>6</xdr:col>
      <xdr:colOff>1230630</xdr:colOff>
      <xdr:row>0</xdr:row>
      <xdr:rowOff>843457</xdr:rowOff>
    </xdr:to>
    <xdr:pic>
      <xdr:nvPicPr>
        <xdr:cNvPr id="5" name="Imagen 6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9525"/>
          <a:ext cx="1059180" cy="833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111124</xdr:colOff>
      <xdr:row>7</xdr:row>
      <xdr:rowOff>125942</xdr:rowOff>
    </xdr:from>
    <xdr:to>
      <xdr:col>2</xdr:col>
      <xdr:colOff>1100666</xdr:colOff>
      <xdr:row>26</xdr:row>
      <xdr:rowOff>148167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8EB2D439-CB41-4DB9-9163-89B7FE3FDA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866775</xdr:rowOff>
    </xdr:to>
    <xdr:pic>
      <xdr:nvPicPr>
        <xdr:cNvPr id="2" name="3 Imagen" descr="logo.jpg">
          <a:extLst>
            <a:ext uri="{FF2B5EF4-FFF2-40B4-BE49-F238E27FC236}">
              <a16:creationId xmlns="" xmlns:a16="http://schemas.microsoft.com/office/drawing/2014/main" id="{BD7E779D-2978-48B4-90AD-4C6D756FA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0350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22</xdr:row>
      <xdr:rowOff>83343</xdr:rowOff>
    </xdr:from>
    <xdr:to>
      <xdr:col>2</xdr:col>
      <xdr:colOff>762000</xdr:colOff>
      <xdr:row>37</xdr:row>
      <xdr:rowOff>71437</xdr:rowOff>
    </xdr:to>
    <xdr:graphicFrame macro="">
      <xdr:nvGraphicFramePr>
        <xdr:cNvPr id="3" name="Gráfico 1">
          <a:extLst>
            <a:ext uri="{FF2B5EF4-FFF2-40B4-BE49-F238E27FC236}">
              <a16:creationId xmlns="" xmlns:a16="http://schemas.microsoft.com/office/drawing/2014/main" id="{0343C948-68B5-4618-856A-D75A1FDD0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1281339</xdr:colOff>
      <xdr:row>43</xdr:row>
      <xdr:rowOff>7144</xdr:rowOff>
    </xdr:from>
    <xdr:to>
      <xdr:col>6</xdr:col>
      <xdr:colOff>1162730</xdr:colOff>
      <xdr:row>60</xdr:row>
      <xdr:rowOff>23813</xdr:rowOff>
    </xdr:to>
    <xdr:graphicFrame macro="">
      <xdr:nvGraphicFramePr>
        <xdr:cNvPr id="4" name="Gráfico 2">
          <a:extLst>
            <a:ext uri="{FF2B5EF4-FFF2-40B4-BE49-F238E27FC236}">
              <a16:creationId xmlns="" xmlns:a16="http://schemas.microsoft.com/office/drawing/2014/main" id="{087CBF9A-4141-477E-B432-1CF0BD3CF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588169</xdr:colOff>
      <xdr:row>0</xdr:row>
      <xdr:rowOff>130969</xdr:rowOff>
    </xdr:from>
    <xdr:to>
      <xdr:col>1</xdr:col>
      <xdr:colOff>1228249</xdr:colOff>
      <xdr:row>0</xdr:row>
      <xdr:rowOff>870372</xdr:rowOff>
    </xdr:to>
    <xdr:pic>
      <xdr:nvPicPr>
        <xdr:cNvPr id="5" name="3 Imagen" descr="E:\DOCUMENTOS LENIS\Memoria pasar\1Escudo.jpg">
          <a:extLst>
            <a:ext uri="{FF2B5EF4-FFF2-40B4-BE49-F238E27FC236}">
              <a16:creationId xmlns="" xmlns:a16="http://schemas.microsoft.com/office/drawing/2014/main" id="{45F4F962-9B99-492D-9A0D-D1CDDAE4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8" y="130969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202406</xdr:colOff>
      <xdr:row>0</xdr:row>
      <xdr:rowOff>0</xdr:rowOff>
    </xdr:from>
    <xdr:to>
      <xdr:col>6</xdr:col>
      <xdr:colOff>1299686</xdr:colOff>
      <xdr:row>1</xdr:row>
      <xdr:rowOff>54192</xdr:rowOff>
    </xdr:to>
    <xdr:pic>
      <xdr:nvPicPr>
        <xdr:cNvPr id="6" name="Imagen 7">
          <a:extLst>
            <a:ext uri="{FF2B5EF4-FFF2-40B4-BE49-F238E27FC236}">
              <a16:creationId xmlns="" xmlns:a16="http://schemas.microsoft.com/office/drawing/2014/main" id="{05046C1D-7AED-4813-BD4E-C186C8488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9969" y="0"/>
          <a:ext cx="1097280" cy="100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89298</xdr:colOff>
      <xdr:row>39</xdr:row>
      <xdr:rowOff>11906</xdr:rowOff>
    </xdr:from>
    <xdr:to>
      <xdr:col>2</xdr:col>
      <xdr:colOff>773906</xdr:colOff>
      <xdr:row>55</xdr:row>
      <xdr:rowOff>154781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5826536E-D1E2-49D8-91DD-87EE32B2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732693</xdr:colOff>
      <xdr:row>0</xdr:row>
      <xdr:rowOff>106546</xdr:rowOff>
    </xdr:from>
    <xdr:to>
      <xdr:col>0</xdr:col>
      <xdr:colOff>1372773</xdr:colOff>
      <xdr:row>0</xdr:row>
      <xdr:rowOff>845949</xdr:rowOff>
    </xdr:to>
    <xdr:pic>
      <xdr:nvPicPr>
        <xdr:cNvPr id="12" name="3 Imagen" descr="E:\DOCUMENTOS LENIS\Memoria pasar\1Escudo.jpg">
          <a:extLst>
            <a:ext uri="{FF2B5EF4-FFF2-40B4-BE49-F238E27FC236}">
              <a16:creationId xmlns="" xmlns:a16="http://schemas.microsoft.com/office/drawing/2014/main" id="{F2CE75A6-DBA4-48D6-B726-F42C4C78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93" y="106546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1859532</xdr:colOff>
      <xdr:row>0</xdr:row>
      <xdr:rowOff>0</xdr:rowOff>
    </xdr:from>
    <xdr:to>
      <xdr:col>5</xdr:col>
      <xdr:colOff>1064024</xdr:colOff>
      <xdr:row>0</xdr:row>
      <xdr:rowOff>1006692</xdr:rowOff>
    </xdr:to>
    <xdr:pic>
      <xdr:nvPicPr>
        <xdr:cNvPr id="13" name="Imagen 7">
          <a:extLst>
            <a:ext uri="{FF2B5EF4-FFF2-40B4-BE49-F238E27FC236}">
              <a16:creationId xmlns="" xmlns:a16="http://schemas.microsoft.com/office/drawing/2014/main" id="{B35D162A-FDEF-43F8-8333-79AE4E204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8667" y="0"/>
          <a:ext cx="1097280" cy="100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805358</xdr:colOff>
      <xdr:row>0</xdr:row>
      <xdr:rowOff>15875</xdr:rowOff>
    </xdr:from>
    <xdr:to>
      <xdr:col>0</xdr:col>
      <xdr:colOff>1445438</xdr:colOff>
      <xdr:row>0</xdr:row>
      <xdr:rowOff>755278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="" xmlns:a16="http://schemas.microsoft.com/office/drawing/2014/main" id="{B6A6CB1D-B81C-48AF-B5C7-2A630093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58" y="15875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449232</xdr:colOff>
      <xdr:row>0</xdr:row>
      <xdr:rowOff>0</xdr:rowOff>
    </xdr:from>
    <xdr:to>
      <xdr:col>5</xdr:col>
      <xdr:colOff>1552374</xdr:colOff>
      <xdr:row>1</xdr:row>
      <xdr:rowOff>162142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2F9FD496-9073-414A-A344-5812EF474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0741" y="0"/>
          <a:ext cx="1103142" cy="1000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857250</xdr:rowOff>
    </xdr:to>
    <xdr:pic>
      <xdr:nvPicPr>
        <xdr:cNvPr id="18061017" name="3 Imagen" descr="logo.jpg">
          <a:extLst>
            <a:ext uri="{FF2B5EF4-FFF2-40B4-BE49-F238E27FC236}">
              <a16:creationId xmlns="" xmlns:a16="http://schemas.microsoft.com/office/drawing/2014/main" id="{00000000-0008-0000-0200-0000D996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0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21166</xdr:colOff>
      <xdr:row>22</xdr:row>
      <xdr:rowOff>3173</xdr:rowOff>
    </xdr:from>
    <xdr:to>
      <xdr:col>6</xdr:col>
      <xdr:colOff>1312333</xdr:colOff>
      <xdr:row>39</xdr:row>
      <xdr:rowOff>63499</xdr:rowOff>
    </xdr:to>
    <xdr:graphicFrame macro="">
      <xdr:nvGraphicFramePr>
        <xdr:cNvPr id="18061018" name="Gráfico 2">
          <a:extLst>
            <a:ext uri="{FF2B5EF4-FFF2-40B4-BE49-F238E27FC236}">
              <a16:creationId xmlns="" xmlns:a16="http://schemas.microsoft.com/office/drawing/2014/main" id="{00000000-0008-0000-0200-0000DA961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95249</xdr:colOff>
      <xdr:row>11</xdr:row>
      <xdr:rowOff>201084</xdr:rowOff>
    </xdr:from>
    <xdr:to>
      <xdr:col>2</xdr:col>
      <xdr:colOff>677333</xdr:colOff>
      <xdr:row>29</xdr:row>
      <xdr:rowOff>42334</xdr:rowOff>
    </xdr:to>
    <xdr:graphicFrame macro="">
      <xdr:nvGraphicFramePr>
        <xdr:cNvPr id="18061019" name="Gráfico 3">
          <a:extLst>
            <a:ext uri="{FF2B5EF4-FFF2-40B4-BE49-F238E27FC236}">
              <a16:creationId xmlns="" xmlns:a16="http://schemas.microsoft.com/office/drawing/2014/main" id="{00000000-0008-0000-0200-0000DB961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609599</xdr:colOff>
      <xdr:row>0</xdr:row>
      <xdr:rowOff>66674</xdr:rowOff>
    </xdr:from>
    <xdr:to>
      <xdr:col>1</xdr:col>
      <xdr:colOff>1249679</xdr:colOff>
      <xdr:row>0</xdr:row>
      <xdr:rowOff>805228</xdr:rowOff>
    </xdr:to>
    <xdr:pic>
      <xdr:nvPicPr>
        <xdr:cNvPr id="18061020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200-0000DC96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766" y="66674"/>
          <a:ext cx="640080" cy="738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179916</xdr:colOff>
      <xdr:row>0</xdr:row>
      <xdr:rowOff>0</xdr:rowOff>
    </xdr:from>
    <xdr:to>
      <xdr:col>6</xdr:col>
      <xdr:colOff>1277196</xdr:colOff>
      <xdr:row>1</xdr:row>
      <xdr:rowOff>58136</xdr:rowOff>
    </xdr:to>
    <xdr:pic>
      <xdr:nvPicPr>
        <xdr:cNvPr id="18061021" name="Imagen 7">
          <a:extLst>
            <a:ext uri="{FF2B5EF4-FFF2-40B4-BE49-F238E27FC236}">
              <a16:creationId xmlns="" xmlns:a16="http://schemas.microsoft.com/office/drawing/2014/main" id="{00000000-0008-0000-0200-0000DD961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4249" y="0"/>
          <a:ext cx="1097280" cy="100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2</xdr:row>
      <xdr:rowOff>19050</xdr:rowOff>
    </xdr:to>
    <xdr:pic>
      <xdr:nvPicPr>
        <xdr:cNvPr id="20348394" name="3 Imagen" descr="logo.jpg">
          <a:extLst>
            <a:ext uri="{FF2B5EF4-FFF2-40B4-BE49-F238E27FC236}">
              <a16:creationId xmlns="" xmlns:a16="http://schemas.microsoft.com/office/drawing/2014/main" id="{00000000-0008-0000-0300-0000EA7D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93134</xdr:colOff>
      <xdr:row>21</xdr:row>
      <xdr:rowOff>38100</xdr:rowOff>
    </xdr:from>
    <xdr:to>
      <xdr:col>2</xdr:col>
      <xdr:colOff>781050</xdr:colOff>
      <xdr:row>36</xdr:row>
      <xdr:rowOff>142875</xdr:rowOff>
    </xdr:to>
    <xdr:graphicFrame macro="">
      <xdr:nvGraphicFramePr>
        <xdr:cNvPr id="20348395" name="Gráfico 1">
          <a:extLst>
            <a:ext uri="{FF2B5EF4-FFF2-40B4-BE49-F238E27FC236}">
              <a16:creationId xmlns="" xmlns:a16="http://schemas.microsoft.com/office/drawing/2014/main" id="{00000000-0008-0000-0300-0000EB7D3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609600</xdr:colOff>
      <xdr:row>31</xdr:row>
      <xdr:rowOff>38100</xdr:rowOff>
    </xdr:from>
    <xdr:to>
      <xdr:col>6</xdr:col>
      <xdr:colOff>1304925</xdr:colOff>
      <xdr:row>45</xdr:row>
      <xdr:rowOff>104775</xdr:rowOff>
    </xdr:to>
    <xdr:graphicFrame macro="">
      <xdr:nvGraphicFramePr>
        <xdr:cNvPr id="20348396" name="Gráfico 2">
          <a:extLst>
            <a:ext uri="{FF2B5EF4-FFF2-40B4-BE49-F238E27FC236}">
              <a16:creationId xmlns="" xmlns:a16="http://schemas.microsoft.com/office/drawing/2014/main" id="{00000000-0008-0000-0300-0000EC7D3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676275</xdr:colOff>
      <xdr:row>1</xdr:row>
      <xdr:rowOff>47625</xdr:rowOff>
    </xdr:from>
    <xdr:to>
      <xdr:col>1</xdr:col>
      <xdr:colOff>1316355</xdr:colOff>
      <xdr:row>1</xdr:row>
      <xdr:rowOff>772421</xdr:rowOff>
    </xdr:to>
    <xdr:pic>
      <xdr:nvPicPr>
        <xdr:cNvPr id="2034839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300-0000ED7D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57175"/>
          <a:ext cx="640080" cy="72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142876</xdr:colOff>
      <xdr:row>0</xdr:row>
      <xdr:rowOff>123825</xdr:rowOff>
    </xdr:from>
    <xdr:to>
      <xdr:col>6</xdr:col>
      <xdr:colOff>1240156</xdr:colOff>
      <xdr:row>2</xdr:row>
      <xdr:rowOff>93470</xdr:rowOff>
    </xdr:to>
    <xdr:pic>
      <xdr:nvPicPr>
        <xdr:cNvPr id="20348398" name="Imagen 7">
          <a:extLst>
            <a:ext uri="{FF2B5EF4-FFF2-40B4-BE49-F238E27FC236}">
              <a16:creationId xmlns="" xmlns:a16="http://schemas.microsoft.com/office/drawing/2014/main" id="{00000000-0008-0000-0300-0000EE7D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1" y="0"/>
          <a:ext cx="1097280" cy="979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2</xdr:row>
      <xdr:rowOff>38100</xdr:rowOff>
    </xdr:to>
    <xdr:pic>
      <xdr:nvPicPr>
        <xdr:cNvPr id="19498560" name="3 Imagen" descr="logo.jpg">
          <a:extLst>
            <a:ext uri="{FF2B5EF4-FFF2-40B4-BE49-F238E27FC236}">
              <a16:creationId xmlns="" xmlns:a16="http://schemas.microsoft.com/office/drawing/2014/main" id="{00000000-0008-0000-0400-0000408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35</xdr:row>
      <xdr:rowOff>25400</xdr:rowOff>
    </xdr:from>
    <xdr:to>
      <xdr:col>6</xdr:col>
      <xdr:colOff>1339850</xdr:colOff>
      <xdr:row>50</xdr:row>
      <xdr:rowOff>114300</xdr:rowOff>
    </xdr:to>
    <xdr:graphicFrame macro="">
      <xdr:nvGraphicFramePr>
        <xdr:cNvPr id="19498561" name="Gráfico 2">
          <a:extLst>
            <a:ext uri="{FF2B5EF4-FFF2-40B4-BE49-F238E27FC236}">
              <a16:creationId xmlns="" xmlns:a16="http://schemas.microsoft.com/office/drawing/2014/main" id="{00000000-0008-0000-0400-0000418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26</xdr:row>
      <xdr:rowOff>9525</xdr:rowOff>
    </xdr:from>
    <xdr:to>
      <xdr:col>2</xdr:col>
      <xdr:colOff>742950</xdr:colOff>
      <xdr:row>41</xdr:row>
      <xdr:rowOff>152400</xdr:rowOff>
    </xdr:to>
    <xdr:graphicFrame macro="">
      <xdr:nvGraphicFramePr>
        <xdr:cNvPr id="19498562" name="Gráfico 3">
          <a:extLst>
            <a:ext uri="{FF2B5EF4-FFF2-40B4-BE49-F238E27FC236}">
              <a16:creationId xmlns="" xmlns:a16="http://schemas.microsoft.com/office/drawing/2014/main" id="{00000000-0008-0000-0400-000042862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647700</xdr:colOff>
      <xdr:row>1</xdr:row>
      <xdr:rowOff>47625</xdr:rowOff>
    </xdr:from>
    <xdr:to>
      <xdr:col>1</xdr:col>
      <xdr:colOff>1287780</xdr:colOff>
      <xdr:row>1</xdr:row>
      <xdr:rowOff>784687</xdr:rowOff>
    </xdr:to>
    <xdr:pic>
      <xdr:nvPicPr>
        <xdr:cNvPr id="19498563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400-00004386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7650"/>
          <a:ext cx="640080" cy="737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171449</xdr:colOff>
      <xdr:row>0</xdr:row>
      <xdr:rowOff>57150</xdr:rowOff>
    </xdr:from>
    <xdr:to>
      <xdr:col>6</xdr:col>
      <xdr:colOff>1268729</xdr:colOff>
      <xdr:row>2</xdr:row>
      <xdr:rowOff>63382</xdr:rowOff>
    </xdr:to>
    <xdr:pic>
      <xdr:nvPicPr>
        <xdr:cNvPr id="19498564" name="Imagen 7">
          <a:extLst>
            <a:ext uri="{FF2B5EF4-FFF2-40B4-BE49-F238E27FC236}">
              <a16:creationId xmlns="" xmlns:a16="http://schemas.microsoft.com/office/drawing/2014/main" id="{00000000-0008-0000-0400-000044862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4" y="57150"/>
          <a:ext cx="1097280" cy="1006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21825940" name="3 Imagen" descr="logo.jpg">
          <a:extLst>
            <a:ext uri="{FF2B5EF4-FFF2-40B4-BE49-F238E27FC236}">
              <a16:creationId xmlns="" xmlns:a16="http://schemas.microsoft.com/office/drawing/2014/main" id="{00000000-0008-0000-0500-000094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0</xdr:colOff>
      <xdr:row>1</xdr:row>
      <xdr:rowOff>866775</xdr:rowOff>
    </xdr:to>
    <xdr:pic>
      <xdr:nvPicPr>
        <xdr:cNvPr id="21825941" name="3 Imagen" descr="logo.jpg">
          <a:extLst>
            <a:ext uri="{FF2B5EF4-FFF2-40B4-BE49-F238E27FC236}">
              <a16:creationId xmlns="" xmlns:a16="http://schemas.microsoft.com/office/drawing/2014/main" id="{00000000-0008-0000-0500-000095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0"/>
          <a:ext cx="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30</xdr:row>
      <xdr:rowOff>200024</xdr:rowOff>
    </xdr:from>
    <xdr:to>
      <xdr:col>2</xdr:col>
      <xdr:colOff>657225</xdr:colOff>
      <xdr:row>46</xdr:row>
      <xdr:rowOff>9524</xdr:rowOff>
    </xdr:to>
    <xdr:graphicFrame macro="">
      <xdr:nvGraphicFramePr>
        <xdr:cNvPr id="21825942" name="Gráfico 3">
          <a:extLst>
            <a:ext uri="{FF2B5EF4-FFF2-40B4-BE49-F238E27FC236}">
              <a16:creationId xmlns="" xmlns:a16="http://schemas.microsoft.com/office/drawing/2014/main" id="{00000000-0008-0000-0500-00009609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819150</xdr:colOff>
      <xdr:row>1</xdr:row>
      <xdr:rowOff>85725</xdr:rowOff>
    </xdr:from>
    <xdr:to>
      <xdr:col>1</xdr:col>
      <xdr:colOff>1459230</xdr:colOff>
      <xdr:row>1</xdr:row>
      <xdr:rowOff>825128</xdr:rowOff>
    </xdr:to>
    <xdr:pic>
      <xdr:nvPicPr>
        <xdr:cNvPr id="21825943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500-00009709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285750"/>
          <a:ext cx="640080" cy="73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85723</xdr:rowOff>
    </xdr:from>
    <xdr:to>
      <xdr:col>6</xdr:col>
      <xdr:colOff>1259205</xdr:colOff>
      <xdr:row>2</xdr:row>
      <xdr:rowOff>23704</xdr:rowOff>
    </xdr:to>
    <xdr:pic>
      <xdr:nvPicPr>
        <xdr:cNvPr id="21825944" name="Imagen 7">
          <a:extLst>
            <a:ext uri="{FF2B5EF4-FFF2-40B4-BE49-F238E27FC236}">
              <a16:creationId xmlns="" xmlns:a16="http://schemas.microsoft.com/office/drawing/2014/main" id="{00000000-0008-0000-0500-000098094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85723"/>
          <a:ext cx="1097280" cy="98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1066801</xdr:colOff>
      <xdr:row>40</xdr:row>
      <xdr:rowOff>60325</xdr:rowOff>
    </xdr:from>
    <xdr:to>
      <xdr:col>6</xdr:col>
      <xdr:colOff>1123951</xdr:colOff>
      <xdr:row>56</xdr:row>
      <xdr:rowOff>73025</xdr:rowOff>
    </xdr:to>
    <xdr:graphicFrame macro="">
      <xdr:nvGraphicFramePr>
        <xdr:cNvPr id="21825945" name="Gráfico 2">
          <a:extLst>
            <a:ext uri="{FF2B5EF4-FFF2-40B4-BE49-F238E27FC236}">
              <a16:creationId xmlns="" xmlns:a16="http://schemas.microsoft.com/office/drawing/2014/main" id="{00000000-0008-0000-0500-000099094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SEGUIMIENTO_PLAN_DE_ACCI&#211;N_2021_4T_DESPACH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.8.SEGUIMIENTO_PLAN_DE_ACCI&#211;N_2021_4T_TI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.9.SEGUIMIENTO_PLAN_DE_ACCI&#211;N_2021_4T_HACIEND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1.SEGUIMIENTO_PLAN_DE_ACCI&#211;N_2021_3T_DAFI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2.SEGUIMIENTO_PLAN_DE_ACCI&#211;N_2021_4T_JURIDIC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4.SEGUIMIENTO_PLAN_DE_ACCI&#211;N_2021_4T_BIENES_Y_SUMINISTRO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3.5.SEGUIMIENTO_PLAN_DE_ACCI&#211;N_2021_4T_PLANEAC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6.SEGUIMIENTO_PLAN_DE_ACCI&#211;N_2021_4T_CONTROL_INTERN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PENDIENTES\3.7SEGUIMIENTO_PLAN_DE_ACCI&#211;N_2021_3T_DACI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.7SEGUIMIENTO_PLAN_DE_ACCI&#211;N_2021_4T_DACI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4.1.SEGUIMIENTO_PLAN_DE_ACCI&#211;N_2021_4T_FOMVIVIEND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1.SEGUIMIENTO_PLAN_DE_ACCI&#211;N_2021_4T_GOBIERN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IENTOS_PLAN_DE_ACCION_2021/SEG_PLAN_DE_ACCI&#211;N_3T_2021/PENDIENTES/4.2.SEGUIMIENTO_PLAN_DE_ACCI&#211;N_2021_3T_EDU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4.2.SEGUIMIENTO_PLAN_DE_ACCI&#211;N_2021_4T_EDU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4.3.SEGUIMIENTO_PLAN_DE_ACCI&#211;N_2021_4T_CORPOCULTUR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4.4.SEGUIMIENTO_PLAN_DE_ACCI&#211;N_2021_4T_IMDER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4.5.SEGUIMIENTO_PLAN_DE_ACCI&#211;N_2021_4T_EPA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4.6.SEGUIMIENTO_PLAN_DE_ACCI&#211;N_2021_4T_AMAB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2.SEGUIMIENTO_PLAN_DE_ACCI&#211;N_2021_4T_SOCI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.3.SEGUIMIENTO_PLAN_DE_ACCI&#211;N_2021_4T_SALU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.4.SEGUIMIENTO_PLAN_DE_ACCI&#211;N_2021_4T_DECONOMIC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.5.SEGUIMIENTO_PLAN_DE_ACCI&#211;N_2021_4T_EDUCAC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GUIMIENTOS_PLAN_DE_ACCION_2021\SEG_PLAN_DE_ACCI&#211;N_3T_2021\PENDIENTES\2.6.SEGUIMIENTO_PLAN_DE_ACCIO&#236;N_2021_3T_INFRAESTRUCTUR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.6.SEGUIMIENTO_PLAN_DE_ACCIO&#236;N_2021_4T_INFRAESTRUCTUR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.7.SEGUIMIENTO_PLAN_DE_ACCI&#211;N_2021_4T_TRANS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DESPACHO_4T_2021"/>
      <sheetName val="CONSOLIDADO"/>
    </sheetNames>
    <sheetDataSet>
      <sheetData sheetId="0"/>
      <sheetData sheetId="1">
        <row r="37">
          <cell r="E37">
            <v>150000000</v>
          </cell>
          <cell r="F37">
            <v>147477333.08000001</v>
          </cell>
        </row>
        <row r="38">
          <cell r="E38">
            <v>73192375.370000005</v>
          </cell>
          <cell r="F38">
            <v>73192374.730000004</v>
          </cell>
        </row>
        <row r="39">
          <cell r="E39">
            <v>1078639250.99</v>
          </cell>
          <cell r="F39">
            <v>1048039250.4299999</v>
          </cell>
        </row>
        <row r="40">
          <cell r="E40">
            <v>653201231.42999995</v>
          </cell>
          <cell r="F40">
            <v>557320769</v>
          </cell>
        </row>
        <row r="41">
          <cell r="E41">
            <v>281171385.17000002</v>
          </cell>
          <cell r="F41">
            <v>264586663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TIC_4T_2021"/>
      <sheetName val="CONSOLIDADO"/>
    </sheetNames>
    <sheetDataSet>
      <sheetData sheetId="0" refreshError="1"/>
      <sheetData sheetId="1">
        <row r="23">
          <cell r="C23">
            <v>0.79449999999999998</v>
          </cell>
          <cell r="D23">
            <v>617289450</v>
          </cell>
          <cell r="E23">
            <v>551143908</v>
          </cell>
        </row>
        <row r="24">
          <cell r="C24">
            <v>0.4</v>
          </cell>
          <cell r="D24">
            <v>130000000</v>
          </cell>
          <cell r="E24">
            <v>1200000</v>
          </cell>
        </row>
        <row r="25">
          <cell r="C25">
            <v>0.9</v>
          </cell>
          <cell r="D25">
            <v>1830000000</v>
          </cell>
          <cell r="E25">
            <v>730197519</v>
          </cell>
        </row>
        <row r="26">
          <cell r="C26">
            <v>0.3</v>
          </cell>
          <cell r="D26">
            <v>10000000</v>
          </cell>
          <cell r="E26">
            <v>600000</v>
          </cell>
        </row>
        <row r="27">
          <cell r="C27">
            <v>0.5</v>
          </cell>
          <cell r="D27">
            <v>20000000</v>
          </cell>
          <cell r="E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HACIENDA_4T_2021"/>
      <sheetName val="CONSOLIDADO"/>
    </sheetNames>
    <sheetDataSet>
      <sheetData sheetId="0"/>
      <sheetData sheetId="1">
        <row r="33">
          <cell r="C33">
            <v>1</v>
          </cell>
          <cell r="D33">
            <v>5312454325.1099997</v>
          </cell>
          <cell r="E33">
            <v>4747800427.1400003</v>
          </cell>
        </row>
        <row r="34">
          <cell r="C34">
            <v>1</v>
          </cell>
          <cell r="D34">
            <v>41316004</v>
          </cell>
          <cell r="E34">
            <v>0</v>
          </cell>
        </row>
        <row r="35">
          <cell r="C35">
            <v>1</v>
          </cell>
          <cell r="D35">
            <v>4699423434</v>
          </cell>
          <cell r="E35">
            <v>4698860000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FORTALECIMIENTO_4T_2021"/>
      <sheetName val="CONSOLIDADO"/>
    </sheetNames>
    <sheetDataSet>
      <sheetData sheetId="0" refreshError="1"/>
      <sheetData sheetId="1">
        <row r="19">
          <cell r="C19">
            <v>0</v>
          </cell>
          <cell r="D19">
            <v>56120000</v>
          </cell>
          <cell r="E19">
            <v>0</v>
          </cell>
        </row>
        <row r="20">
          <cell r="C20">
            <v>0.97570000000000001</v>
          </cell>
          <cell r="D20">
            <v>1045980000</v>
          </cell>
          <cell r="E20">
            <v>823391903</v>
          </cell>
        </row>
        <row r="21">
          <cell r="C21">
            <v>0.87250000000000005</v>
          </cell>
          <cell r="D21">
            <v>4095242655</v>
          </cell>
          <cell r="E21">
            <v>3758812716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JURIDICO_4T_2021"/>
      <sheetName val="CONSOLIDADO"/>
    </sheetNames>
    <sheetDataSet>
      <sheetData sheetId="0" refreshError="1"/>
      <sheetData sheetId="1">
        <row r="10">
          <cell r="E10" t="str">
            <v xml:space="preserve">Actividades de Gestión </v>
          </cell>
          <cell r="F10" t="str">
            <v xml:space="preserve">Actividades de Gestión </v>
          </cell>
        </row>
        <row r="11">
          <cell r="E11">
            <v>1334800000</v>
          </cell>
          <cell r="F11">
            <v>1201800194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BIENES Y S_4T_2021"/>
      <sheetName val="CONSOLIDADO"/>
    </sheetNames>
    <sheetDataSet>
      <sheetData sheetId="0" refreshError="1"/>
      <sheetData sheetId="1">
        <row r="25">
          <cell r="C25">
            <v>0.5</v>
          </cell>
          <cell r="D25">
            <v>937363000</v>
          </cell>
          <cell r="E25">
            <v>0</v>
          </cell>
        </row>
        <row r="26">
          <cell r="C26">
            <v>0.88</v>
          </cell>
          <cell r="D26">
            <v>700749999</v>
          </cell>
          <cell r="E26">
            <v>678313330</v>
          </cell>
        </row>
        <row r="27">
          <cell r="C27">
            <v>0.71</v>
          </cell>
          <cell r="D27">
            <v>121000000</v>
          </cell>
          <cell r="E27">
            <v>90292192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"/>
      <sheetName val="CONSOLIDADO"/>
    </sheetNames>
    <sheetDataSet>
      <sheetData sheetId="0" refreshError="1"/>
      <sheetData sheetId="1">
        <row r="136">
          <cell r="C136">
            <v>0.91690000000000005</v>
          </cell>
          <cell r="D136">
            <v>1361821180</v>
          </cell>
          <cell r="E136">
            <v>713821179.87</v>
          </cell>
        </row>
        <row r="137">
          <cell r="C137">
            <v>1</v>
          </cell>
          <cell r="D137">
            <v>1134878820</v>
          </cell>
          <cell r="E137">
            <v>1134878820</v>
          </cell>
        </row>
        <row r="138">
          <cell r="C138">
            <v>0.75</v>
          </cell>
          <cell r="D138">
            <v>1777186101</v>
          </cell>
          <cell r="E138">
            <v>648080000</v>
          </cell>
        </row>
        <row r="139">
          <cell r="C139">
            <v>0.75</v>
          </cell>
          <cell r="D139">
            <v>1933776552</v>
          </cell>
          <cell r="E139">
            <v>651200000</v>
          </cell>
        </row>
        <row r="140">
          <cell r="C140">
            <v>0.97499999999999998</v>
          </cell>
          <cell r="D140">
            <v>44850000</v>
          </cell>
          <cell r="E140">
            <v>44850000</v>
          </cell>
        </row>
        <row r="141">
          <cell r="C141">
            <v>1</v>
          </cell>
          <cell r="D141">
            <v>100000000</v>
          </cell>
          <cell r="E141">
            <v>100000000</v>
          </cell>
        </row>
        <row r="142">
          <cell r="C142">
            <v>1</v>
          </cell>
          <cell r="D142">
            <v>92400000</v>
          </cell>
          <cell r="E142">
            <v>88950000</v>
          </cell>
        </row>
        <row r="143">
          <cell r="C143">
            <v>0.8</v>
          </cell>
          <cell r="D143">
            <v>47940000</v>
          </cell>
          <cell r="E143">
            <v>47940000</v>
          </cell>
        </row>
        <row r="144">
          <cell r="C144">
            <v>0.89570000000000005</v>
          </cell>
          <cell r="D144">
            <v>2445254647.73</v>
          </cell>
          <cell r="E144">
            <v>1965667640.28</v>
          </cell>
        </row>
        <row r="145">
          <cell r="C145">
            <v>0.75560000000000005</v>
          </cell>
          <cell r="D145">
            <v>69000000</v>
          </cell>
          <cell r="E145">
            <v>69000000</v>
          </cell>
        </row>
        <row r="146">
          <cell r="C146">
            <v>0.68669999999999998</v>
          </cell>
          <cell r="D146" t="str">
            <v xml:space="preserve">Actividades con Gestión </v>
          </cell>
          <cell r="E146" t="str">
            <v xml:space="preserve">Actividades con Gestión </v>
          </cell>
        </row>
        <row r="147">
          <cell r="C147">
            <v>1</v>
          </cell>
          <cell r="D147" t="str">
            <v xml:space="preserve">Actividades con Gestión </v>
          </cell>
          <cell r="E147" t="str">
            <v xml:space="preserve">Actividades con Gestión </v>
          </cell>
        </row>
        <row r="148">
          <cell r="C148">
            <v>0.43640000000000001</v>
          </cell>
          <cell r="D148" t="str">
            <v xml:space="preserve">Actividades con Gestión </v>
          </cell>
          <cell r="E148" t="str">
            <v xml:space="preserve">Actividades con Gestión </v>
          </cell>
        </row>
        <row r="149">
          <cell r="C149">
            <v>0.73260000000000003</v>
          </cell>
          <cell r="D149">
            <v>2401627319</v>
          </cell>
          <cell r="E149">
            <v>794938989</v>
          </cell>
        </row>
        <row r="150">
          <cell r="C150">
            <v>0.74</v>
          </cell>
          <cell r="D150">
            <v>42300000</v>
          </cell>
          <cell r="E150">
            <v>41150000</v>
          </cell>
        </row>
        <row r="151">
          <cell r="C151">
            <v>1</v>
          </cell>
          <cell r="D151">
            <v>695900000</v>
          </cell>
          <cell r="E151">
            <v>609701333</v>
          </cell>
        </row>
        <row r="152">
          <cell r="C152">
            <v>1</v>
          </cell>
          <cell r="D152">
            <v>290647294</v>
          </cell>
          <cell r="E152">
            <v>279833000</v>
          </cell>
        </row>
        <row r="153">
          <cell r="C153">
            <v>0.98</v>
          </cell>
          <cell r="D153">
            <v>675482855</v>
          </cell>
          <cell r="E153">
            <v>613440249</v>
          </cell>
        </row>
        <row r="154">
          <cell r="C154">
            <v>1</v>
          </cell>
          <cell r="D154">
            <v>188950000</v>
          </cell>
          <cell r="E154">
            <v>188950000</v>
          </cell>
        </row>
        <row r="155">
          <cell r="C155">
            <v>1</v>
          </cell>
          <cell r="D155">
            <v>50700000</v>
          </cell>
          <cell r="E155">
            <v>50700000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CONTROL_4T_2021"/>
      <sheetName val="CONSOLIDADO"/>
    </sheetNames>
    <sheetDataSet>
      <sheetData sheetId="0" refreshError="1"/>
      <sheetData sheetId="1">
        <row r="4">
          <cell r="K4">
            <v>1</v>
          </cell>
          <cell r="L4">
            <v>298500000</v>
          </cell>
          <cell r="M4">
            <v>293750000</v>
          </cell>
        </row>
        <row r="5">
          <cell r="K5">
            <v>1</v>
          </cell>
          <cell r="L5">
            <v>216500000</v>
          </cell>
          <cell r="M5">
            <v>209276667</v>
          </cell>
        </row>
        <row r="6">
          <cell r="K6">
            <v>1</v>
          </cell>
          <cell r="L6">
            <v>65000000</v>
          </cell>
          <cell r="M6">
            <v>56456667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DACID_3T_2021"/>
      <sheetName val="CONSOLIDADO"/>
    </sheetNames>
    <sheetDataSet>
      <sheetData sheetId="0" refreshError="1"/>
      <sheetData sheetId="1">
        <row r="14">
          <cell r="B14">
            <v>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DACID_4T_2021"/>
      <sheetName val="CONSOLIDADO"/>
    </sheetNames>
    <sheetDataSet>
      <sheetData sheetId="0" refreshError="1"/>
      <sheetData sheetId="1">
        <row r="3">
          <cell r="D3">
            <v>639495000</v>
          </cell>
          <cell r="E3">
            <v>620218446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FOMVIVIENDA_4T_2021"/>
      <sheetName val="CONSOLIDADO"/>
    </sheetNames>
    <sheetDataSet>
      <sheetData sheetId="0" refreshError="1"/>
      <sheetData sheetId="1">
        <row r="21">
          <cell r="C21">
            <v>1</v>
          </cell>
          <cell r="D21">
            <v>10000000</v>
          </cell>
          <cell r="E21">
            <v>10000000</v>
          </cell>
        </row>
        <row r="22">
          <cell r="C22">
            <v>0.94440000000000002</v>
          </cell>
          <cell r="D22">
            <v>737053715</v>
          </cell>
          <cell r="E22">
            <v>733676251</v>
          </cell>
        </row>
        <row r="23">
          <cell r="C23">
            <v>1</v>
          </cell>
          <cell r="D23">
            <v>8853333</v>
          </cell>
          <cell r="E23">
            <v>8853333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"/>
      <sheetName val="CONSOLIDADO"/>
    </sheetNames>
    <sheetDataSet>
      <sheetData sheetId="0" refreshError="1"/>
      <sheetData sheetId="1">
        <row r="55">
          <cell r="C55">
            <v>0.2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80000000</v>
          </cell>
          <cell r="E56">
            <v>0</v>
          </cell>
        </row>
        <row r="57">
          <cell r="C57">
            <v>1</v>
          </cell>
          <cell r="D57">
            <v>30000000</v>
          </cell>
          <cell r="E57">
            <v>27277191.890000001</v>
          </cell>
        </row>
        <row r="58">
          <cell r="C58">
            <v>0.95</v>
          </cell>
          <cell r="D58">
            <v>473650359</v>
          </cell>
          <cell r="E58">
            <v>306886211</v>
          </cell>
        </row>
        <row r="59">
          <cell r="C59">
            <v>0.81</v>
          </cell>
          <cell r="D59">
            <v>681927000</v>
          </cell>
          <cell r="E59">
            <v>170383010.22</v>
          </cell>
        </row>
        <row r="60">
          <cell r="C60">
            <v>1</v>
          </cell>
          <cell r="D60">
            <v>6437885732</v>
          </cell>
          <cell r="E60">
            <v>4928951961.04</v>
          </cell>
        </row>
        <row r="61">
          <cell r="C61">
            <v>1</v>
          </cell>
          <cell r="D61">
            <v>420000000</v>
          </cell>
          <cell r="E61">
            <v>376019476.98000002</v>
          </cell>
        </row>
        <row r="62">
          <cell r="C62">
            <v>0.99</v>
          </cell>
          <cell r="D62">
            <v>385420500</v>
          </cell>
          <cell r="E62">
            <v>328735227.31</v>
          </cell>
        </row>
        <row r="63">
          <cell r="C63">
            <v>1</v>
          </cell>
          <cell r="D63">
            <v>736336500</v>
          </cell>
          <cell r="E63">
            <v>668479119.60000002</v>
          </cell>
        </row>
        <row r="64">
          <cell r="C64">
            <v>0.93</v>
          </cell>
          <cell r="D64">
            <v>48000000</v>
          </cell>
          <cell r="E64">
            <v>29100000</v>
          </cell>
        </row>
        <row r="65">
          <cell r="C65">
            <v>1</v>
          </cell>
          <cell r="D65">
            <v>115740000</v>
          </cell>
          <cell r="E65">
            <v>76876711</v>
          </cell>
        </row>
        <row r="66">
          <cell r="C66">
            <v>0.97</v>
          </cell>
          <cell r="D66">
            <v>70415000</v>
          </cell>
          <cell r="E66">
            <v>68005733</v>
          </cell>
        </row>
        <row r="67">
          <cell r="C67">
            <v>1</v>
          </cell>
          <cell r="D67">
            <v>340000000</v>
          </cell>
          <cell r="E67">
            <v>160931533</v>
          </cell>
        </row>
        <row r="68">
          <cell r="C68">
            <v>1</v>
          </cell>
          <cell r="D68">
            <v>7842847529.0900002</v>
          </cell>
          <cell r="E68">
            <v>1625455701.1400001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EDUA_3T_2021"/>
    </sheetNames>
    <sheetDataSet>
      <sheetData sheetId="0">
        <row r="12">
          <cell r="S12">
            <v>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EDUA_4T_2021"/>
    </sheetNames>
    <sheetDataSet>
      <sheetData sheetId="0">
        <row r="12">
          <cell r="V12">
            <v>495000000</v>
          </cell>
          <cell r="W12">
            <v>419464621</v>
          </cell>
        </row>
        <row r="14">
          <cell r="V14">
            <v>682543627</v>
          </cell>
          <cell r="W14">
            <v>611932954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"/>
      <sheetName val="SEG_PA_CORPOCULTURA_4T_2021"/>
      <sheetName val="CONSOLIDADO"/>
      <sheetName val="Hoja2"/>
    </sheetNames>
    <sheetDataSet>
      <sheetData sheetId="0" refreshError="1"/>
      <sheetData sheetId="1" refreshError="1"/>
      <sheetData sheetId="2">
        <row r="31">
          <cell r="D31">
            <v>1</v>
          </cell>
          <cell r="E31">
            <v>9000000</v>
          </cell>
          <cell r="F31">
            <v>9000000</v>
          </cell>
        </row>
        <row r="32">
          <cell r="D32">
            <v>1</v>
          </cell>
          <cell r="E32">
            <v>15000000</v>
          </cell>
          <cell r="F32">
            <v>15000000</v>
          </cell>
        </row>
        <row r="33">
          <cell r="D33">
            <v>1</v>
          </cell>
          <cell r="E33">
            <v>5000000</v>
          </cell>
          <cell r="F33">
            <v>5000000</v>
          </cell>
        </row>
        <row r="34">
          <cell r="D34">
            <v>1</v>
          </cell>
          <cell r="E34">
            <v>19200000</v>
          </cell>
          <cell r="F34">
            <v>19200000</v>
          </cell>
        </row>
        <row r="35">
          <cell r="D35">
            <v>1</v>
          </cell>
          <cell r="E35">
            <v>30000000</v>
          </cell>
          <cell r="F35">
            <v>0</v>
          </cell>
        </row>
        <row r="36">
          <cell r="D36">
            <v>1</v>
          </cell>
          <cell r="E36">
            <v>30000000</v>
          </cell>
          <cell r="F36">
            <v>30000000</v>
          </cell>
        </row>
        <row r="37">
          <cell r="D37">
            <v>1</v>
          </cell>
          <cell r="E37">
            <v>22729690.859999999</v>
          </cell>
          <cell r="F37">
            <v>17000000</v>
          </cell>
        </row>
        <row r="38">
          <cell r="D38">
            <v>1</v>
          </cell>
          <cell r="E38">
            <v>472519208.69999999</v>
          </cell>
          <cell r="F38">
            <v>335845760</v>
          </cell>
        </row>
        <row r="39">
          <cell r="D39">
            <v>0</v>
          </cell>
          <cell r="E39">
            <v>10000000</v>
          </cell>
          <cell r="F39">
            <v>0</v>
          </cell>
        </row>
        <row r="40">
          <cell r="D40">
            <v>1</v>
          </cell>
          <cell r="E40">
            <v>0</v>
          </cell>
          <cell r="F40">
            <v>0</v>
          </cell>
        </row>
        <row r="41">
          <cell r="D41">
            <v>1</v>
          </cell>
          <cell r="E41">
            <v>0</v>
          </cell>
          <cell r="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</row>
        <row r="44">
          <cell r="D44">
            <v>1</v>
          </cell>
          <cell r="E44">
            <v>788300000</v>
          </cell>
          <cell r="F44">
            <v>788299999</v>
          </cell>
        </row>
        <row r="45">
          <cell r="D45">
            <v>0</v>
          </cell>
          <cell r="E45">
            <v>0</v>
          </cell>
          <cell r="F45">
            <v>0</v>
          </cell>
        </row>
        <row r="46">
          <cell r="D46">
            <v>1</v>
          </cell>
          <cell r="E46">
            <v>23500000</v>
          </cell>
          <cell r="F46">
            <v>23500000</v>
          </cell>
        </row>
        <row r="47">
          <cell r="D47">
            <v>0.4762667416934942</v>
          </cell>
          <cell r="E47">
            <v>667679393</v>
          </cell>
          <cell r="F47">
            <v>77600000</v>
          </cell>
        </row>
        <row r="48">
          <cell r="D48">
            <v>1</v>
          </cell>
          <cell r="E48">
            <v>0</v>
          </cell>
          <cell r="F48">
            <v>0</v>
          </cell>
        </row>
        <row r="49">
          <cell r="D49">
            <v>0.6</v>
          </cell>
          <cell r="E49">
            <v>43656286</v>
          </cell>
          <cell r="F49">
            <v>21000000</v>
          </cell>
        </row>
        <row r="50">
          <cell r="D50">
            <v>1</v>
          </cell>
          <cell r="E50">
            <v>116789040</v>
          </cell>
          <cell r="F50">
            <v>46000000</v>
          </cell>
        </row>
        <row r="51">
          <cell r="D51">
            <v>1</v>
          </cell>
          <cell r="E51">
            <v>39600000</v>
          </cell>
          <cell r="F51">
            <v>39600000</v>
          </cell>
        </row>
        <row r="52">
          <cell r="D52">
            <v>1</v>
          </cell>
          <cell r="E52">
            <v>71140000</v>
          </cell>
          <cell r="F52">
            <v>71140000</v>
          </cell>
        </row>
        <row r="53">
          <cell r="D53">
            <v>1</v>
          </cell>
          <cell r="E53">
            <v>837905585</v>
          </cell>
          <cell r="F53">
            <v>832409240</v>
          </cell>
        </row>
      </sheetData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"/>
      <sheetName val="PLAN DE ACCION (2)"/>
      <sheetName val="SEG_PA_IMDERA_4T_2021"/>
      <sheetName val="Hoja1"/>
    </sheetNames>
    <sheetDataSet>
      <sheetData sheetId="0"/>
      <sheetData sheetId="1"/>
      <sheetData sheetId="2"/>
      <sheetData sheetId="3">
        <row r="20">
          <cell r="C20">
            <v>1</v>
          </cell>
          <cell r="D20">
            <v>1330738920</v>
          </cell>
          <cell r="E20">
            <v>1305759288</v>
          </cell>
        </row>
        <row r="21">
          <cell r="C21">
            <v>1</v>
          </cell>
          <cell r="D21">
            <v>1090986759</v>
          </cell>
          <cell r="E21">
            <v>1069177419</v>
          </cell>
        </row>
        <row r="22">
          <cell r="C22">
            <v>1</v>
          </cell>
          <cell r="D22">
            <v>160000000</v>
          </cell>
          <cell r="E22">
            <v>155300000</v>
          </cell>
        </row>
        <row r="23">
          <cell r="C23">
            <v>1</v>
          </cell>
          <cell r="D23">
            <v>875070928</v>
          </cell>
          <cell r="E23">
            <v>856993342</v>
          </cell>
        </row>
        <row r="24">
          <cell r="C24">
            <v>0</v>
          </cell>
          <cell r="D24">
            <v>1000000</v>
          </cell>
          <cell r="E24">
            <v>1000000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EPA_4T_2021"/>
      <sheetName val="CONSOLIDADO"/>
    </sheetNames>
    <sheetDataSet>
      <sheetData sheetId="0" refreshError="1"/>
      <sheetData sheetId="1">
        <row r="311">
          <cell r="B311">
            <v>1</v>
          </cell>
          <cell r="C311">
            <v>1</v>
          </cell>
          <cell r="D311" t="str">
            <v>Actividades de Gestión</v>
          </cell>
          <cell r="E311" t="str">
            <v>Actividades de Gestión</v>
          </cell>
        </row>
        <row r="312">
          <cell r="B312">
            <v>1</v>
          </cell>
          <cell r="C312">
            <v>0.7</v>
          </cell>
          <cell r="D312">
            <v>691540351</v>
          </cell>
          <cell r="E312">
            <v>623729509.5</v>
          </cell>
        </row>
        <row r="313">
          <cell r="B313">
            <v>4</v>
          </cell>
          <cell r="C313">
            <v>0.96</v>
          </cell>
          <cell r="D313">
            <v>3272431021.9200001</v>
          </cell>
          <cell r="E313">
            <v>3262852890.1900001</v>
          </cell>
        </row>
        <row r="314">
          <cell r="B314">
            <v>3</v>
          </cell>
          <cell r="C314">
            <v>1</v>
          </cell>
          <cell r="D314">
            <v>1565091362</v>
          </cell>
          <cell r="E314">
            <v>1425228396.73</v>
          </cell>
        </row>
        <row r="315">
          <cell r="B315">
            <v>3</v>
          </cell>
          <cell r="C315">
            <v>1</v>
          </cell>
          <cell r="D315" t="str">
            <v>Actividades de Gestión</v>
          </cell>
          <cell r="E315" t="str">
            <v>Actividades de Gestión</v>
          </cell>
        </row>
        <row r="316">
          <cell r="B316">
            <v>1</v>
          </cell>
          <cell r="C316">
            <v>1</v>
          </cell>
          <cell r="D316">
            <v>2673040000</v>
          </cell>
          <cell r="E316">
            <v>2671116094.9699998</v>
          </cell>
        </row>
        <row r="317">
          <cell r="B317">
            <v>1</v>
          </cell>
          <cell r="C317">
            <v>1</v>
          </cell>
          <cell r="D317">
            <v>1120000000</v>
          </cell>
          <cell r="E317">
            <v>1104512906</v>
          </cell>
        </row>
        <row r="318">
          <cell r="B318">
            <v>2</v>
          </cell>
          <cell r="C318">
            <v>0.65</v>
          </cell>
          <cell r="D318">
            <v>986939603</v>
          </cell>
          <cell r="E318">
            <v>971178000.38999999</v>
          </cell>
        </row>
        <row r="319">
          <cell r="B319">
            <v>2</v>
          </cell>
          <cell r="C319">
            <v>1</v>
          </cell>
          <cell r="D319">
            <v>3482697608.3799996</v>
          </cell>
          <cell r="E319">
            <v>3344196656</v>
          </cell>
        </row>
        <row r="320">
          <cell r="B320">
            <v>2</v>
          </cell>
          <cell r="C320">
            <v>1</v>
          </cell>
          <cell r="D320">
            <v>1802773035</v>
          </cell>
          <cell r="E320">
            <v>1720882438.5799999</v>
          </cell>
        </row>
        <row r="321">
          <cell r="B321">
            <v>1</v>
          </cell>
          <cell r="C321">
            <v>1</v>
          </cell>
          <cell r="D321">
            <v>39500000</v>
          </cell>
          <cell r="E321">
            <v>34724199</v>
          </cell>
        </row>
        <row r="322">
          <cell r="B322">
            <v>1</v>
          </cell>
          <cell r="C322">
            <v>0.8</v>
          </cell>
          <cell r="D322">
            <v>88000000</v>
          </cell>
          <cell r="E322">
            <v>39328140.5</v>
          </cell>
        </row>
        <row r="323">
          <cell r="B323">
            <v>1</v>
          </cell>
          <cell r="C323">
            <v>1</v>
          </cell>
          <cell r="D323">
            <v>153000000</v>
          </cell>
          <cell r="E323">
            <v>142085314.44</v>
          </cell>
        </row>
        <row r="324">
          <cell r="B324">
            <v>1</v>
          </cell>
          <cell r="C324">
            <v>0.8</v>
          </cell>
          <cell r="D324">
            <v>811000000</v>
          </cell>
          <cell r="E324">
            <v>808517975.74000001</v>
          </cell>
        </row>
        <row r="325">
          <cell r="B325">
            <v>1</v>
          </cell>
          <cell r="C325">
            <v>1</v>
          </cell>
          <cell r="D325" t="str">
            <v>Actividades de Gestión</v>
          </cell>
          <cell r="E325" t="str">
            <v>Actividades de Gestión</v>
          </cell>
        </row>
        <row r="326">
          <cell r="B326">
            <v>2</v>
          </cell>
          <cell r="C326">
            <v>1</v>
          </cell>
          <cell r="D326">
            <v>1126000000</v>
          </cell>
          <cell r="E326">
            <v>1066256754.39</v>
          </cell>
        </row>
        <row r="327">
          <cell r="B327">
            <v>2</v>
          </cell>
          <cell r="C327">
            <v>0.83</v>
          </cell>
          <cell r="D327">
            <v>1050000000</v>
          </cell>
          <cell r="E327">
            <v>953506671</v>
          </cell>
        </row>
        <row r="328">
          <cell r="B328">
            <v>1</v>
          </cell>
          <cell r="C328">
            <v>1</v>
          </cell>
          <cell r="D328">
            <v>353300000</v>
          </cell>
          <cell r="E328">
            <v>236100025.33000001</v>
          </cell>
        </row>
        <row r="329">
          <cell r="B329">
            <v>1</v>
          </cell>
          <cell r="C329">
            <v>1</v>
          </cell>
          <cell r="D329">
            <v>416000000</v>
          </cell>
          <cell r="E329">
            <v>415768009.52999997</v>
          </cell>
        </row>
        <row r="330">
          <cell r="B330">
            <v>1</v>
          </cell>
          <cell r="C330">
            <v>1</v>
          </cell>
          <cell r="D330" t="str">
            <v>Actividades de Gestión</v>
          </cell>
          <cell r="E330" t="str">
            <v>Actividades de Gestión</v>
          </cell>
        </row>
        <row r="331">
          <cell r="B331">
            <v>1</v>
          </cell>
          <cell r="C331">
            <v>1</v>
          </cell>
          <cell r="D331" t="str">
            <v>Actividades de Gestión</v>
          </cell>
          <cell r="E331" t="str">
            <v>Actividades de Gestión</v>
          </cell>
        </row>
        <row r="332">
          <cell r="B332">
            <v>2</v>
          </cell>
          <cell r="C332">
            <v>0.5</v>
          </cell>
          <cell r="D332" t="str">
            <v>Actividades de Gestión</v>
          </cell>
          <cell r="E332" t="str">
            <v>Actividades de Gestión</v>
          </cell>
        </row>
        <row r="333">
          <cell r="B333">
            <v>1</v>
          </cell>
          <cell r="C333">
            <v>1</v>
          </cell>
          <cell r="D333" t="str">
            <v>Actividades de Gestión</v>
          </cell>
          <cell r="E333" t="str">
            <v>Actividades de Gestión</v>
          </cell>
        </row>
        <row r="334">
          <cell r="B334">
            <v>5</v>
          </cell>
          <cell r="C334">
            <v>0.97</v>
          </cell>
          <cell r="D334">
            <v>207746080</v>
          </cell>
          <cell r="E334">
            <v>97755900</v>
          </cell>
        </row>
        <row r="335">
          <cell r="B335">
            <v>1</v>
          </cell>
          <cell r="C335">
            <v>1</v>
          </cell>
          <cell r="D335">
            <v>25423552</v>
          </cell>
          <cell r="E335">
            <v>24746666.399999999</v>
          </cell>
        </row>
        <row r="336">
          <cell r="B336">
            <v>1</v>
          </cell>
          <cell r="C336">
            <v>1</v>
          </cell>
          <cell r="D336" t="str">
            <v>Actividades de Gestión</v>
          </cell>
          <cell r="E336" t="str">
            <v>Actividades de Gestión</v>
          </cell>
        </row>
        <row r="337">
          <cell r="B337">
            <v>1</v>
          </cell>
          <cell r="C337">
            <v>1</v>
          </cell>
          <cell r="D337">
            <v>6355888</v>
          </cell>
          <cell r="E337">
            <v>6186666.5999999996</v>
          </cell>
        </row>
        <row r="338">
          <cell r="B338">
            <v>1</v>
          </cell>
          <cell r="C338">
            <v>0.99</v>
          </cell>
          <cell r="D338">
            <v>234935382</v>
          </cell>
          <cell r="E338">
            <v>187341300</v>
          </cell>
        </row>
        <row r="339">
          <cell r="B339">
            <v>3</v>
          </cell>
          <cell r="C339">
            <v>0.93</v>
          </cell>
          <cell r="D339">
            <v>765549633</v>
          </cell>
          <cell r="E339">
            <v>516605769.83999997</v>
          </cell>
        </row>
        <row r="340">
          <cell r="B340">
            <v>16</v>
          </cell>
          <cell r="C340">
            <v>0.93</v>
          </cell>
          <cell r="D340">
            <v>5428601305</v>
          </cell>
          <cell r="E340">
            <v>5311527388</v>
          </cell>
        </row>
        <row r="341">
          <cell r="B341">
            <v>1</v>
          </cell>
          <cell r="C341">
            <v>1</v>
          </cell>
          <cell r="D341" t="str">
            <v>Actividades de Gestión</v>
          </cell>
          <cell r="E341" t="str">
            <v>Actividades de Gestión</v>
          </cell>
        </row>
        <row r="342">
          <cell r="B342">
            <v>4</v>
          </cell>
          <cell r="C342">
            <v>0.97</v>
          </cell>
          <cell r="D342">
            <v>116800000</v>
          </cell>
          <cell r="E342">
            <v>83310727.599999994</v>
          </cell>
        </row>
        <row r="343">
          <cell r="B343">
            <v>3</v>
          </cell>
          <cell r="C343">
            <v>1</v>
          </cell>
          <cell r="D343">
            <v>599270579</v>
          </cell>
          <cell r="E343">
            <v>583284643.92999995</v>
          </cell>
        </row>
        <row r="344">
          <cell r="B344">
            <v>4</v>
          </cell>
          <cell r="C344">
            <v>1</v>
          </cell>
          <cell r="D344">
            <v>1087851456</v>
          </cell>
          <cell r="E344">
            <v>1081260605</v>
          </cell>
        </row>
        <row r="345">
          <cell r="B345">
            <v>2</v>
          </cell>
          <cell r="C345">
            <v>1</v>
          </cell>
          <cell r="D345">
            <v>120000000</v>
          </cell>
          <cell r="E345">
            <v>119008600.84</v>
          </cell>
        </row>
        <row r="346">
          <cell r="B346">
            <v>7</v>
          </cell>
          <cell r="C346">
            <v>0.75</v>
          </cell>
          <cell r="D346" t="str">
            <v>Actividades de Gestión</v>
          </cell>
          <cell r="E346" t="str">
            <v>Actividades de Gestión</v>
          </cell>
        </row>
        <row r="347">
          <cell r="B347">
            <v>3</v>
          </cell>
          <cell r="C347">
            <v>1</v>
          </cell>
          <cell r="D347" t="str">
            <v xml:space="preserve">Actividades de Gestión </v>
          </cell>
          <cell r="E347" t="str">
            <v xml:space="preserve">Actividades de Gestión </v>
          </cell>
        </row>
        <row r="348">
          <cell r="B348">
            <v>1</v>
          </cell>
          <cell r="C348">
            <v>0.93</v>
          </cell>
          <cell r="D348">
            <v>35000000</v>
          </cell>
          <cell r="E348">
            <v>30783300</v>
          </cell>
        </row>
        <row r="349">
          <cell r="B349">
            <v>2</v>
          </cell>
          <cell r="C349">
            <v>0.97</v>
          </cell>
          <cell r="D349">
            <v>35000000</v>
          </cell>
          <cell r="E349">
            <v>30783300</v>
          </cell>
        </row>
        <row r="350">
          <cell r="B350">
            <v>2</v>
          </cell>
          <cell r="C350">
            <v>1</v>
          </cell>
          <cell r="D350">
            <v>230000000</v>
          </cell>
          <cell r="E350">
            <v>202190800</v>
          </cell>
        </row>
        <row r="351">
          <cell r="B351">
            <v>2</v>
          </cell>
          <cell r="C351">
            <v>0.9</v>
          </cell>
          <cell r="D351">
            <v>24135603</v>
          </cell>
          <cell r="E351">
            <v>22709904</v>
          </cell>
        </row>
        <row r="352">
          <cell r="B352">
            <v>1</v>
          </cell>
          <cell r="C352">
            <v>1</v>
          </cell>
          <cell r="D352" t="str">
            <v xml:space="preserve">Actividades de Gestión </v>
          </cell>
          <cell r="E352" t="str">
            <v xml:space="preserve">Actividades de Gestión </v>
          </cell>
        </row>
        <row r="353">
          <cell r="B353">
            <v>3</v>
          </cell>
          <cell r="C353">
            <v>0.99199999999999999</v>
          </cell>
          <cell r="D353" t="str">
            <v xml:space="preserve">Actividades de Gestión </v>
          </cell>
          <cell r="E353" t="str">
            <v xml:space="preserve">Actividades de Gestión </v>
          </cell>
        </row>
        <row r="354">
          <cell r="B354">
            <v>1</v>
          </cell>
          <cell r="C354">
            <v>0.93330000000000002</v>
          </cell>
          <cell r="D354" t="str">
            <v xml:space="preserve">Actividades de Gestión </v>
          </cell>
          <cell r="E354" t="str">
            <v xml:space="preserve">Actividades de Gestión </v>
          </cell>
        </row>
        <row r="355">
          <cell r="B355">
            <v>1</v>
          </cell>
          <cell r="C355">
            <v>1</v>
          </cell>
          <cell r="D355" t="str">
            <v xml:space="preserve">Actividades de Gestión </v>
          </cell>
          <cell r="E355" t="str">
            <v xml:space="preserve">Actividades de Gestión </v>
          </cell>
        </row>
        <row r="356">
          <cell r="B356">
            <v>1</v>
          </cell>
          <cell r="C356">
            <v>0.92589999999999995</v>
          </cell>
          <cell r="D356" t="str">
            <v xml:space="preserve">Actividades de Gestión </v>
          </cell>
          <cell r="E356" t="str">
            <v xml:space="preserve">Actividades de Gestión </v>
          </cell>
        </row>
        <row r="357">
          <cell r="B357">
            <v>6</v>
          </cell>
          <cell r="C357">
            <v>0.999</v>
          </cell>
          <cell r="D357" t="str">
            <v xml:space="preserve">Actividades de Gestión </v>
          </cell>
          <cell r="E357" t="str">
            <v xml:space="preserve">Actividades de Gestión </v>
          </cell>
        </row>
        <row r="358">
          <cell r="B358">
            <v>1</v>
          </cell>
          <cell r="C358">
            <v>0.97060000000000002</v>
          </cell>
          <cell r="D358" t="str">
            <v xml:space="preserve">Actividades de Gestión </v>
          </cell>
          <cell r="E358" t="str">
            <v xml:space="preserve">Actividades de Gestión </v>
          </cell>
        </row>
        <row r="359">
          <cell r="B359">
            <v>10</v>
          </cell>
          <cell r="C359">
            <v>0.87890000000000001</v>
          </cell>
          <cell r="D359">
            <v>96094311</v>
          </cell>
          <cell r="E359">
            <v>93283333</v>
          </cell>
        </row>
        <row r="360">
          <cell r="B360">
            <v>4</v>
          </cell>
          <cell r="C360">
            <v>1</v>
          </cell>
          <cell r="D360">
            <v>20700000</v>
          </cell>
          <cell r="E360">
            <v>16895428</v>
          </cell>
        </row>
        <row r="361">
          <cell r="B361">
            <v>2</v>
          </cell>
          <cell r="C361">
            <v>1</v>
          </cell>
          <cell r="D361">
            <v>105000000</v>
          </cell>
          <cell r="E361">
            <v>74390966</v>
          </cell>
        </row>
        <row r="362">
          <cell r="B362">
            <v>4</v>
          </cell>
          <cell r="C362">
            <v>1</v>
          </cell>
          <cell r="D362">
            <v>400000000</v>
          </cell>
          <cell r="E362">
            <v>347999899</v>
          </cell>
        </row>
        <row r="363">
          <cell r="B363">
            <v>1</v>
          </cell>
          <cell r="C363">
            <v>1</v>
          </cell>
          <cell r="D363">
            <v>50000000</v>
          </cell>
          <cell r="E363">
            <v>45344757</v>
          </cell>
        </row>
        <row r="364">
          <cell r="B364">
            <v>4</v>
          </cell>
          <cell r="C364">
            <v>0.91779999999999995</v>
          </cell>
          <cell r="D364">
            <v>978168396.83000004</v>
          </cell>
          <cell r="E364">
            <v>874045071.42999995</v>
          </cell>
        </row>
        <row r="365">
          <cell r="B365">
            <v>1</v>
          </cell>
          <cell r="C365">
            <v>1</v>
          </cell>
          <cell r="D365">
            <v>1050000000</v>
          </cell>
          <cell r="E365">
            <v>939427403</v>
          </cell>
        </row>
        <row r="366">
          <cell r="B366">
            <v>2</v>
          </cell>
          <cell r="C366">
            <v>0.9</v>
          </cell>
          <cell r="D366" t="str">
            <v xml:space="preserve">Actividades de Gestión </v>
          </cell>
          <cell r="E366" t="str">
            <v xml:space="preserve">Actividades de Gestión </v>
          </cell>
        </row>
        <row r="367">
          <cell r="B367">
            <v>1</v>
          </cell>
          <cell r="C367">
            <v>0.6</v>
          </cell>
          <cell r="D367" t="str">
            <v xml:space="preserve">Actividades de Gestión </v>
          </cell>
          <cell r="E367" t="str">
            <v xml:space="preserve">Actividades de Gestión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AMABLE_4T_2021"/>
      <sheetName val="CONSOLIDADO"/>
    </sheetNames>
    <sheetDataSet>
      <sheetData sheetId="0" refreshError="1"/>
      <sheetData sheetId="1">
        <row r="20">
          <cell r="E20">
            <v>0.37</v>
          </cell>
          <cell r="F20">
            <v>6377059968.3800001</v>
          </cell>
          <cell r="G20">
            <v>2202683669.8299999</v>
          </cell>
        </row>
        <row r="21">
          <cell r="E21">
            <v>0.2</v>
          </cell>
          <cell r="F21">
            <v>7294294932.4300003</v>
          </cell>
          <cell r="G21">
            <v>0</v>
          </cell>
        </row>
        <row r="22">
          <cell r="E22">
            <v>0.3</v>
          </cell>
          <cell r="F22">
            <v>3000000000</v>
          </cell>
          <cell r="G22">
            <v>0</v>
          </cell>
        </row>
        <row r="23">
          <cell r="E23">
            <v>1</v>
          </cell>
          <cell r="F23">
            <v>4961807</v>
          </cell>
          <cell r="G23">
            <v>4961807</v>
          </cell>
        </row>
        <row r="24">
          <cell r="E24">
            <v>1</v>
          </cell>
          <cell r="F24">
            <v>5283864217</v>
          </cell>
          <cell r="G24">
            <v>5061211442</v>
          </cell>
        </row>
        <row r="25">
          <cell r="E25">
            <v>0.88461538461538458</v>
          </cell>
          <cell r="F25">
            <v>3482435788.9099998</v>
          </cell>
          <cell r="G25">
            <v>2793229787.0999999</v>
          </cell>
        </row>
        <row r="26">
          <cell r="E26">
            <v>1</v>
          </cell>
          <cell r="F26">
            <v>2225188266.48</v>
          </cell>
          <cell r="G26">
            <v>1378608935.02</v>
          </cell>
        </row>
        <row r="27">
          <cell r="E27">
            <v>0.25</v>
          </cell>
          <cell r="F27">
            <v>12829438530</v>
          </cell>
          <cell r="G27">
            <v>1808636092.99</v>
          </cell>
        </row>
        <row r="28">
          <cell r="E28">
            <v>1</v>
          </cell>
          <cell r="F28">
            <v>1460909531</v>
          </cell>
          <cell r="G28">
            <v>755932528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 SOCIAL def"/>
      <sheetName val="CONSOLIDADO"/>
    </sheetNames>
    <sheetDataSet>
      <sheetData sheetId="0" refreshError="1"/>
      <sheetData sheetId="1">
        <row r="277">
          <cell r="C277">
            <v>8</v>
          </cell>
          <cell r="D277">
            <v>0.97</v>
          </cell>
          <cell r="E277">
            <v>62397222</v>
          </cell>
          <cell r="F277">
            <v>37308846</v>
          </cell>
        </row>
        <row r="278">
          <cell r="C278">
            <v>14</v>
          </cell>
          <cell r="D278">
            <v>1</v>
          </cell>
          <cell r="E278">
            <v>203856599</v>
          </cell>
          <cell r="F278">
            <v>134705529</v>
          </cell>
        </row>
        <row r="279">
          <cell r="C279">
            <v>12</v>
          </cell>
          <cell r="D279">
            <v>0.97</v>
          </cell>
          <cell r="E279">
            <v>169056818</v>
          </cell>
          <cell r="F279">
            <v>112462103</v>
          </cell>
        </row>
        <row r="280">
          <cell r="C280">
            <v>24</v>
          </cell>
          <cell r="D280">
            <v>0.89</v>
          </cell>
          <cell r="E280">
            <v>191917000</v>
          </cell>
          <cell r="F280">
            <v>133780867</v>
          </cell>
        </row>
        <row r="281">
          <cell r="C281">
            <v>18</v>
          </cell>
          <cell r="D281">
            <v>0.96</v>
          </cell>
          <cell r="E281">
            <v>225218095</v>
          </cell>
          <cell r="F281">
            <v>117185718</v>
          </cell>
        </row>
        <row r="282">
          <cell r="C282">
            <v>19</v>
          </cell>
          <cell r="D282">
            <v>0.84</v>
          </cell>
          <cell r="E282">
            <v>68000000</v>
          </cell>
          <cell r="F282">
            <v>60499998</v>
          </cell>
        </row>
        <row r="283">
          <cell r="C283">
            <v>22</v>
          </cell>
          <cell r="D283">
            <v>0.94</v>
          </cell>
          <cell r="E283">
            <v>382767000</v>
          </cell>
          <cell r="F283">
            <v>201859231</v>
          </cell>
        </row>
        <row r="284">
          <cell r="C284">
            <v>7</v>
          </cell>
          <cell r="D284">
            <v>0.89</v>
          </cell>
          <cell r="E284">
            <v>5537207999</v>
          </cell>
          <cell r="F284">
            <v>3389194620</v>
          </cell>
        </row>
        <row r="285">
          <cell r="C285">
            <v>25</v>
          </cell>
          <cell r="D285">
            <v>0.94</v>
          </cell>
          <cell r="E285">
            <v>609725826</v>
          </cell>
          <cell r="F285">
            <v>259525826</v>
          </cell>
        </row>
        <row r="286">
          <cell r="C286">
            <v>22</v>
          </cell>
          <cell r="D286">
            <v>0.97</v>
          </cell>
          <cell r="E286">
            <v>324324000</v>
          </cell>
          <cell r="F286">
            <v>159516811</v>
          </cell>
        </row>
        <row r="287">
          <cell r="C287">
            <v>25</v>
          </cell>
          <cell r="D287">
            <v>0.99</v>
          </cell>
          <cell r="E287">
            <v>180520000</v>
          </cell>
          <cell r="F287">
            <v>103017213</v>
          </cell>
        </row>
        <row r="288">
          <cell r="C288">
            <v>1</v>
          </cell>
          <cell r="D288">
            <v>1</v>
          </cell>
          <cell r="E288">
            <v>187337471</v>
          </cell>
          <cell r="F288">
            <v>161966497</v>
          </cell>
        </row>
        <row r="289">
          <cell r="C289">
            <v>24</v>
          </cell>
          <cell r="D289">
            <v>0.95</v>
          </cell>
          <cell r="E289">
            <v>294025000</v>
          </cell>
          <cell r="F289">
            <v>211482587</v>
          </cell>
        </row>
        <row r="290">
          <cell r="C290">
            <v>7</v>
          </cell>
          <cell r="D290">
            <v>1</v>
          </cell>
          <cell r="E290">
            <v>110045000</v>
          </cell>
          <cell r="F290">
            <v>96783800</v>
          </cell>
        </row>
        <row r="291">
          <cell r="C291">
            <v>6</v>
          </cell>
          <cell r="D291">
            <v>0.8</v>
          </cell>
          <cell r="E291">
            <v>2767584761</v>
          </cell>
          <cell r="F291">
            <v>551955319</v>
          </cell>
        </row>
        <row r="292">
          <cell r="C292">
            <v>16</v>
          </cell>
          <cell r="D292">
            <v>1</v>
          </cell>
          <cell r="E292">
            <v>277173095</v>
          </cell>
          <cell r="F292">
            <v>252870885</v>
          </cell>
        </row>
        <row r="293">
          <cell r="C293">
            <v>20</v>
          </cell>
          <cell r="D293">
            <v>0.88</v>
          </cell>
          <cell r="E293">
            <v>214619636</v>
          </cell>
          <cell r="F293">
            <v>159732088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SALUD_4T_2021"/>
      <sheetName val="CONSOLIDADO"/>
    </sheetNames>
    <sheetDataSet>
      <sheetData sheetId="0" refreshError="1"/>
      <sheetData sheetId="1">
        <row r="113">
          <cell r="D113">
            <v>1</v>
          </cell>
          <cell r="E113">
            <v>107352000</v>
          </cell>
          <cell r="F113">
            <v>100883997</v>
          </cell>
        </row>
        <row r="114">
          <cell r="D114">
            <v>1</v>
          </cell>
          <cell r="E114">
            <v>45500000</v>
          </cell>
          <cell r="F114">
            <v>40800000</v>
          </cell>
        </row>
        <row r="115">
          <cell r="D115">
            <v>1</v>
          </cell>
          <cell r="E115">
            <v>351333332</v>
          </cell>
          <cell r="F115">
            <v>351266665</v>
          </cell>
        </row>
        <row r="116">
          <cell r="D116">
            <v>1</v>
          </cell>
          <cell r="E116">
            <v>139788722242.92001</v>
          </cell>
          <cell r="F116">
            <v>138605274386.88</v>
          </cell>
        </row>
        <row r="117">
          <cell r="D117">
            <v>1</v>
          </cell>
          <cell r="E117">
            <v>535276921</v>
          </cell>
          <cell r="F117">
            <v>494743059</v>
          </cell>
        </row>
        <row r="118">
          <cell r="D118">
            <v>1</v>
          </cell>
          <cell r="E118">
            <v>84040000</v>
          </cell>
          <cell r="F118">
            <v>77899999</v>
          </cell>
        </row>
        <row r="119">
          <cell r="D119">
            <v>1</v>
          </cell>
          <cell r="E119">
            <v>91000000</v>
          </cell>
          <cell r="F119">
            <v>84600000</v>
          </cell>
        </row>
        <row r="120">
          <cell r="D120">
            <v>0.95</v>
          </cell>
          <cell r="E120">
            <v>165993731</v>
          </cell>
          <cell r="F120">
            <v>144540000</v>
          </cell>
        </row>
        <row r="121">
          <cell r="D121">
            <v>1</v>
          </cell>
          <cell r="E121">
            <v>294058290</v>
          </cell>
          <cell r="F121">
            <v>281585212</v>
          </cell>
        </row>
        <row r="122">
          <cell r="D122">
            <v>1</v>
          </cell>
          <cell r="E122">
            <v>254955334</v>
          </cell>
          <cell r="F122">
            <v>234746663</v>
          </cell>
        </row>
        <row r="123">
          <cell r="D123">
            <v>1</v>
          </cell>
          <cell r="E123">
            <v>370000000</v>
          </cell>
          <cell r="F123">
            <v>370000000</v>
          </cell>
        </row>
        <row r="124">
          <cell r="D124">
            <v>1</v>
          </cell>
          <cell r="E124">
            <v>226377500</v>
          </cell>
          <cell r="F124">
            <v>216050000</v>
          </cell>
        </row>
        <row r="125">
          <cell r="D125">
            <v>1</v>
          </cell>
          <cell r="E125">
            <v>164397333</v>
          </cell>
          <cell r="F125">
            <v>136499999</v>
          </cell>
        </row>
        <row r="126">
          <cell r="D126">
            <v>0.94</v>
          </cell>
          <cell r="E126">
            <v>428833333</v>
          </cell>
          <cell r="F126">
            <v>401166232</v>
          </cell>
        </row>
        <row r="127">
          <cell r="D127">
            <v>1</v>
          </cell>
          <cell r="E127">
            <v>658936291</v>
          </cell>
          <cell r="F127">
            <v>643262956</v>
          </cell>
        </row>
        <row r="128">
          <cell r="D128">
            <v>0.99</v>
          </cell>
          <cell r="E128">
            <v>390771708</v>
          </cell>
          <cell r="F128">
            <v>360010496</v>
          </cell>
        </row>
        <row r="129">
          <cell r="D129">
            <v>1</v>
          </cell>
          <cell r="E129">
            <v>294712000</v>
          </cell>
          <cell r="F129">
            <v>249002720</v>
          </cell>
        </row>
        <row r="130">
          <cell r="D130">
            <v>1</v>
          </cell>
          <cell r="E130">
            <v>81154160</v>
          </cell>
          <cell r="F130">
            <v>65139995</v>
          </cell>
        </row>
        <row r="131">
          <cell r="D131">
            <v>1</v>
          </cell>
          <cell r="E131">
            <v>1004252206</v>
          </cell>
          <cell r="F131">
            <v>972740120</v>
          </cell>
        </row>
        <row r="132">
          <cell r="D132">
            <v>1</v>
          </cell>
          <cell r="E132">
            <v>197064000</v>
          </cell>
          <cell r="F132">
            <v>178209999</v>
          </cell>
        </row>
        <row r="133">
          <cell r="D133">
            <v>1</v>
          </cell>
          <cell r="E133">
            <v>132744000</v>
          </cell>
          <cell r="F133">
            <v>122203326</v>
          </cell>
        </row>
        <row r="134">
          <cell r="D134">
            <v>1</v>
          </cell>
          <cell r="E134">
            <v>1764944985</v>
          </cell>
          <cell r="F134">
            <v>1046032609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DECONOMICO_4T_2021"/>
      <sheetName val="CONSOLIDADO"/>
    </sheetNames>
    <sheetDataSet>
      <sheetData sheetId="0" refreshError="1"/>
      <sheetData sheetId="1">
        <row r="52">
          <cell r="C52">
            <v>1</v>
          </cell>
          <cell r="D52">
            <v>1729000000</v>
          </cell>
          <cell r="E52">
            <v>1517325042.28</v>
          </cell>
        </row>
        <row r="53">
          <cell r="C53">
            <v>1</v>
          </cell>
          <cell r="D53">
            <v>1557169160</v>
          </cell>
          <cell r="E53">
            <v>964593004</v>
          </cell>
        </row>
        <row r="54">
          <cell r="C54">
            <v>0.90910000000000002</v>
          </cell>
          <cell r="D54">
            <v>1558600800</v>
          </cell>
          <cell r="E54">
            <v>518627914.54000002</v>
          </cell>
        </row>
        <row r="55">
          <cell r="C55">
            <v>1</v>
          </cell>
          <cell r="D55" t="str">
            <v xml:space="preserve">Actividades de Gestión </v>
          </cell>
          <cell r="E55" t="str">
            <v xml:space="preserve">Actividades de Gestión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EDUCACIÓN-4T-2021"/>
      <sheetName val="CONSOLIDADO"/>
    </sheetNames>
    <sheetDataSet>
      <sheetData sheetId="0" refreshError="1"/>
      <sheetData sheetId="1">
        <row r="51">
          <cell r="N51">
            <v>0</v>
          </cell>
          <cell r="O51">
            <v>0</v>
          </cell>
          <cell r="P51">
            <v>0</v>
          </cell>
        </row>
        <row r="52">
          <cell r="N52">
            <v>0</v>
          </cell>
          <cell r="O52">
            <v>123388574.37</v>
          </cell>
          <cell r="P52">
            <v>0</v>
          </cell>
        </row>
        <row r="53">
          <cell r="N53">
            <v>1</v>
          </cell>
          <cell r="O53">
            <v>0</v>
          </cell>
          <cell r="P53">
            <v>0</v>
          </cell>
        </row>
        <row r="54">
          <cell r="N54">
            <v>1</v>
          </cell>
          <cell r="O54">
            <v>140339002240</v>
          </cell>
          <cell r="P54">
            <v>138666398052</v>
          </cell>
        </row>
        <row r="55">
          <cell r="N55">
            <v>0</v>
          </cell>
          <cell r="O55">
            <v>1485</v>
          </cell>
          <cell r="P55">
            <v>0</v>
          </cell>
        </row>
        <row r="56">
          <cell r="N56">
            <v>0.84232954545454541</v>
          </cell>
          <cell r="O56">
            <v>0</v>
          </cell>
          <cell r="P56">
            <v>0</v>
          </cell>
        </row>
        <row r="57">
          <cell r="N57">
            <v>1</v>
          </cell>
          <cell r="O57">
            <v>427000000</v>
          </cell>
          <cell r="P57">
            <v>425412359</v>
          </cell>
        </row>
        <row r="58">
          <cell r="N58">
            <v>0.46124763705103972</v>
          </cell>
          <cell r="O58">
            <v>203516543</v>
          </cell>
          <cell r="P58">
            <v>157789732</v>
          </cell>
        </row>
        <row r="59">
          <cell r="N59">
            <v>1</v>
          </cell>
          <cell r="O59">
            <v>663834963</v>
          </cell>
          <cell r="P59">
            <v>0</v>
          </cell>
        </row>
        <row r="60">
          <cell r="N60">
            <v>1</v>
          </cell>
          <cell r="O60">
            <v>0</v>
          </cell>
          <cell r="P60">
            <v>0</v>
          </cell>
        </row>
        <row r="61">
          <cell r="N61">
            <v>1</v>
          </cell>
          <cell r="O61">
            <v>0</v>
          </cell>
          <cell r="P61">
            <v>0</v>
          </cell>
        </row>
        <row r="62">
          <cell r="N62">
            <v>0.8</v>
          </cell>
          <cell r="O62">
            <v>3073907860.77</v>
          </cell>
          <cell r="P62">
            <v>80892262</v>
          </cell>
        </row>
        <row r="63">
          <cell r="N63">
            <v>0.75</v>
          </cell>
          <cell r="O63">
            <v>43215928</v>
          </cell>
          <cell r="P63">
            <v>43215928</v>
          </cell>
        </row>
        <row r="64">
          <cell r="N64">
            <v>0.96551724137931039</v>
          </cell>
          <cell r="O64">
            <v>663735681</v>
          </cell>
          <cell r="P64">
            <v>298559399</v>
          </cell>
        </row>
        <row r="65">
          <cell r="N65">
            <v>0.96551724137931039</v>
          </cell>
          <cell r="O65">
            <v>0</v>
          </cell>
          <cell r="P65">
            <v>0</v>
          </cell>
        </row>
        <row r="66">
          <cell r="N66">
            <v>0.96551724137931039</v>
          </cell>
          <cell r="O66">
            <v>0</v>
          </cell>
          <cell r="P66">
            <v>0</v>
          </cell>
        </row>
        <row r="67">
          <cell r="N67">
            <v>0.96551724137931039</v>
          </cell>
          <cell r="O67">
            <v>62400000</v>
          </cell>
          <cell r="P67">
            <v>0</v>
          </cell>
        </row>
        <row r="68">
          <cell r="N68">
            <v>1</v>
          </cell>
          <cell r="O68">
            <v>12243503268</v>
          </cell>
          <cell r="P68">
            <v>11063228885.85</v>
          </cell>
        </row>
        <row r="69">
          <cell r="N69">
            <v>1</v>
          </cell>
          <cell r="O69">
            <v>58960000</v>
          </cell>
          <cell r="P69">
            <v>58280000</v>
          </cell>
        </row>
        <row r="70">
          <cell r="N70">
            <v>1</v>
          </cell>
          <cell r="O70">
            <v>1285810200</v>
          </cell>
          <cell r="P70">
            <v>1223163183</v>
          </cell>
        </row>
        <row r="71">
          <cell r="N71">
            <v>1</v>
          </cell>
          <cell r="O71">
            <v>985840000</v>
          </cell>
          <cell r="P71">
            <v>728230487</v>
          </cell>
        </row>
        <row r="72">
          <cell r="N72">
            <v>1</v>
          </cell>
          <cell r="O72">
            <v>4114684625.1799998</v>
          </cell>
          <cell r="P72">
            <v>3961968477</v>
          </cell>
        </row>
        <row r="73">
          <cell r="N73">
            <v>0.96551724137931039</v>
          </cell>
          <cell r="O73">
            <v>399142112</v>
          </cell>
          <cell r="P73">
            <v>90000000</v>
          </cell>
        </row>
        <row r="74">
          <cell r="N74">
            <v>0.86956521739130432</v>
          </cell>
          <cell r="O74">
            <v>57000000</v>
          </cell>
          <cell r="P74">
            <v>57000000</v>
          </cell>
        </row>
        <row r="75">
          <cell r="N75">
            <v>1</v>
          </cell>
          <cell r="O75">
            <v>1000000000</v>
          </cell>
          <cell r="P75">
            <v>999420316.25</v>
          </cell>
        </row>
        <row r="76">
          <cell r="N76">
            <v>1</v>
          </cell>
          <cell r="O76">
            <v>78125405.400000006</v>
          </cell>
          <cell r="P76">
            <v>43507392.609999999</v>
          </cell>
        </row>
        <row r="77">
          <cell r="N77">
            <v>1</v>
          </cell>
          <cell r="O77">
            <v>0</v>
          </cell>
          <cell r="P77">
            <v>0</v>
          </cell>
        </row>
        <row r="78">
          <cell r="N78">
            <v>0.96551724137931039</v>
          </cell>
          <cell r="O78">
            <v>0</v>
          </cell>
          <cell r="P78">
            <v>0</v>
          </cell>
        </row>
        <row r="79">
          <cell r="N79">
            <v>0.96551724137931039</v>
          </cell>
          <cell r="O79">
            <v>0</v>
          </cell>
          <cell r="P79">
            <v>0</v>
          </cell>
        </row>
        <row r="80">
          <cell r="N80">
            <v>0.77319587628865982</v>
          </cell>
          <cell r="O80">
            <v>0</v>
          </cell>
          <cell r="P80">
            <v>0</v>
          </cell>
        </row>
        <row r="81">
          <cell r="N81">
            <v>1</v>
          </cell>
          <cell r="O81">
            <v>0</v>
          </cell>
          <cell r="P81">
            <v>0</v>
          </cell>
        </row>
        <row r="82">
          <cell r="N82">
            <v>0.75</v>
          </cell>
          <cell r="O82">
            <v>0</v>
          </cell>
          <cell r="P82">
            <v>0</v>
          </cell>
        </row>
        <row r="83">
          <cell r="N83">
            <v>0.8</v>
          </cell>
          <cell r="O83">
            <v>0</v>
          </cell>
          <cell r="P83">
            <v>0</v>
          </cell>
        </row>
        <row r="84">
          <cell r="N84">
            <v>1</v>
          </cell>
          <cell r="O84">
            <v>32892900</v>
          </cell>
          <cell r="P84">
            <v>29105010</v>
          </cell>
        </row>
        <row r="85">
          <cell r="N85">
            <v>0.96551724137931039</v>
          </cell>
          <cell r="O85">
            <v>546054446</v>
          </cell>
          <cell r="P85">
            <v>215281117.81999999</v>
          </cell>
        </row>
        <row r="86">
          <cell r="N86">
            <v>1</v>
          </cell>
          <cell r="O86">
            <v>0</v>
          </cell>
          <cell r="P86">
            <v>0</v>
          </cell>
        </row>
        <row r="87">
          <cell r="N87">
            <v>1</v>
          </cell>
          <cell r="O87">
            <v>2524152201</v>
          </cell>
          <cell r="P87">
            <v>2350905855.4499998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INFRAESTRUCTURA_3T_2021"/>
      <sheetName val="CONS0LIDADO"/>
    </sheetNames>
    <sheetDataSet>
      <sheetData sheetId="0" refreshError="1"/>
      <sheetData sheetId="1">
        <row r="119">
          <cell r="G119">
            <v>2</v>
          </cell>
        </row>
        <row r="120">
          <cell r="G120">
            <v>1</v>
          </cell>
        </row>
        <row r="121">
          <cell r="G121">
            <v>1</v>
          </cell>
        </row>
        <row r="122">
          <cell r="G122">
            <v>6</v>
          </cell>
        </row>
        <row r="123">
          <cell r="G123">
            <v>33</v>
          </cell>
        </row>
        <row r="124">
          <cell r="G124">
            <v>1</v>
          </cell>
        </row>
        <row r="125">
          <cell r="G125">
            <v>2</v>
          </cell>
        </row>
        <row r="126">
          <cell r="G126">
            <v>7</v>
          </cell>
        </row>
        <row r="127">
          <cell r="G127">
            <v>1</v>
          </cell>
        </row>
        <row r="128">
          <cell r="G128">
            <v>18</v>
          </cell>
        </row>
        <row r="129">
          <cell r="G129">
            <v>1</v>
          </cell>
        </row>
        <row r="130">
          <cell r="G130">
            <v>4</v>
          </cell>
        </row>
        <row r="131">
          <cell r="G131">
            <v>1</v>
          </cell>
        </row>
        <row r="132">
          <cell r="G132">
            <v>1</v>
          </cell>
        </row>
        <row r="133">
          <cell r="G133">
            <v>1</v>
          </cell>
        </row>
        <row r="134">
          <cell r="G134">
            <v>3</v>
          </cell>
        </row>
        <row r="135">
          <cell r="G135">
            <v>1</v>
          </cell>
        </row>
        <row r="136">
          <cell r="G136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INFRAESTRUCTURA_4T_2021"/>
      <sheetName val="CONSOLIDADO"/>
    </sheetNames>
    <sheetDataSet>
      <sheetData sheetId="0" refreshError="1"/>
      <sheetData sheetId="1">
        <row r="5">
          <cell r="N5">
            <v>0.65</v>
          </cell>
          <cell r="O5">
            <v>830185827</v>
          </cell>
          <cell r="P5">
            <v>804495312</v>
          </cell>
        </row>
        <row r="6">
          <cell r="N6">
            <v>0.9</v>
          </cell>
          <cell r="O6">
            <v>339814173</v>
          </cell>
          <cell r="P6">
            <v>319000028</v>
          </cell>
        </row>
        <row r="7">
          <cell r="N7">
            <v>0</v>
          </cell>
          <cell r="O7">
            <v>0</v>
          </cell>
          <cell r="P7">
            <v>0</v>
          </cell>
        </row>
        <row r="8">
          <cell r="N8">
            <v>0.625</v>
          </cell>
          <cell r="O8">
            <v>19056095890</v>
          </cell>
          <cell r="P8">
            <v>15621765051</v>
          </cell>
        </row>
        <row r="9">
          <cell r="N9">
            <v>0.79549999999999998</v>
          </cell>
          <cell r="O9">
            <v>24049307998</v>
          </cell>
          <cell r="P9">
            <v>2957337421</v>
          </cell>
        </row>
        <row r="10">
          <cell r="N10">
            <v>0</v>
          </cell>
          <cell r="O10">
            <v>0</v>
          </cell>
          <cell r="P10">
            <v>0</v>
          </cell>
        </row>
        <row r="11">
          <cell r="N11">
            <v>0</v>
          </cell>
          <cell r="O11">
            <v>0</v>
          </cell>
          <cell r="P11">
            <v>0</v>
          </cell>
        </row>
        <row r="12">
          <cell r="N12">
            <v>0.55710000000000004</v>
          </cell>
          <cell r="O12">
            <v>6709704360</v>
          </cell>
          <cell r="P12">
            <v>3186679636</v>
          </cell>
        </row>
        <row r="13">
          <cell r="N13">
            <v>0.04</v>
          </cell>
          <cell r="O13">
            <v>0</v>
          </cell>
          <cell r="P13">
            <v>0</v>
          </cell>
        </row>
        <row r="14">
          <cell r="N14">
            <v>0.65169999999999995</v>
          </cell>
          <cell r="O14">
            <v>1975993717</v>
          </cell>
          <cell r="P14">
            <v>1582549066</v>
          </cell>
        </row>
        <row r="15">
          <cell r="N15">
            <v>0</v>
          </cell>
          <cell r="O15">
            <v>0</v>
          </cell>
          <cell r="P15">
            <v>0</v>
          </cell>
        </row>
        <row r="16">
          <cell r="N16">
            <v>0.26700000000000002</v>
          </cell>
          <cell r="O16">
            <v>150000000</v>
          </cell>
          <cell r="P16">
            <v>29400000</v>
          </cell>
        </row>
        <row r="17">
          <cell r="N17">
            <v>0</v>
          </cell>
          <cell r="O17">
            <v>0</v>
          </cell>
          <cell r="P17">
            <v>0</v>
          </cell>
        </row>
        <row r="18">
          <cell r="N18">
            <v>1</v>
          </cell>
          <cell r="O18">
            <v>57000000</v>
          </cell>
          <cell r="P18">
            <v>55900420</v>
          </cell>
        </row>
        <row r="19">
          <cell r="N19">
            <v>0.5</v>
          </cell>
          <cell r="O19">
            <v>603459277</v>
          </cell>
          <cell r="P19">
            <v>84916673</v>
          </cell>
        </row>
        <row r="20">
          <cell r="N20">
            <v>0.5</v>
          </cell>
          <cell r="O20">
            <v>100000000</v>
          </cell>
          <cell r="P20">
            <v>90782496</v>
          </cell>
        </row>
        <row r="21">
          <cell r="N21">
            <v>1</v>
          </cell>
          <cell r="O21">
            <v>72349326</v>
          </cell>
          <cell r="P21">
            <v>71750821</v>
          </cell>
        </row>
        <row r="22">
          <cell r="N22">
            <v>0.41670000000000001</v>
          </cell>
          <cell r="O22">
            <v>5401225878</v>
          </cell>
          <cell r="P22">
            <v>3690101190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_PA_TRANSITO_4T_2021"/>
      <sheetName val="CONSOLIDADO"/>
    </sheetNames>
    <sheetDataSet>
      <sheetData sheetId="0" refreshError="1"/>
      <sheetData sheetId="1">
        <row r="5">
          <cell r="L5">
            <v>7</v>
          </cell>
          <cell r="M5">
            <v>0.98099999999999998</v>
          </cell>
          <cell r="N5">
            <v>7056895432</v>
          </cell>
          <cell r="O5">
            <v>3668865570.8800001</v>
          </cell>
        </row>
        <row r="6">
          <cell r="L6">
            <v>2</v>
          </cell>
          <cell r="M6">
            <v>1</v>
          </cell>
          <cell r="N6">
            <v>650000000</v>
          </cell>
          <cell r="O6">
            <v>650000000</v>
          </cell>
        </row>
        <row r="7">
          <cell r="L7">
            <v>1</v>
          </cell>
          <cell r="M7">
            <v>0.3</v>
          </cell>
          <cell r="N7">
            <v>286395503</v>
          </cell>
          <cell r="O7">
            <v>0</v>
          </cell>
        </row>
        <row r="8">
          <cell r="L8">
            <v>3</v>
          </cell>
          <cell r="M8">
            <v>1</v>
          </cell>
          <cell r="N8">
            <v>3076347596</v>
          </cell>
          <cell r="O8">
            <v>2930565617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9"/>
  <sheetViews>
    <sheetView tabSelected="1" view="pageBreakPreview" zoomScale="70" zoomScaleNormal="77" zoomScaleSheetLayoutView="70" workbookViewId="0">
      <selection activeCell="C39" sqref="C39"/>
    </sheetView>
  </sheetViews>
  <sheetFormatPr baseColWidth="10" defaultColWidth="11.42578125" defaultRowHeight="18.75" x14ac:dyDescent="0.3"/>
  <cols>
    <col min="1" max="1" width="3.42578125" style="303" customWidth="1"/>
    <col min="2" max="2" width="67" style="303" customWidth="1"/>
    <col min="3" max="4" width="20.7109375" style="303" customWidth="1"/>
    <col min="5" max="5" width="36.140625" style="331" customWidth="1"/>
    <col min="6" max="6" width="37" style="331" customWidth="1"/>
    <col min="7" max="7" width="27.85546875" style="303" customWidth="1"/>
    <col min="8" max="8" width="16.42578125" style="303" customWidth="1"/>
    <col min="9" max="9" width="12.85546875" style="303" customWidth="1"/>
    <col min="10" max="16384" width="11.42578125" style="303"/>
  </cols>
  <sheetData>
    <row r="1" spans="1:7" ht="75" customHeight="1" thickBot="1" x14ac:dyDescent="0.35">
      <c r="B1" s="736" t="s">
        <v>316</v>
      </c>
      <c r="C1" s="737"/>
      <c r="D1" s="737"/>
      <c r="E1" s="737"/>
      <c r="F1" s="737"/>
      <c r="G1" s="738"/>
    </row>
    <row r="2" spans="1:7" ht="114.75" customHeight="1" thickBot="1" x14ac:dyDescent="0.35">
      <c r="B2" s="284" t="s">
        <v>315</v>
      </c>
      <c r="C2" s="285" t="s">
        <v>54</v>
      </c>
      <c r="D2" s="285" t="s">
        <v>62</v>
      </c>
      <c r="E2" s="286" t="s">
        <v>56</v>
      </c>
      <c r="F2" s="287" t="s">
        <v>57</v>
      </c>
      <c r="G2" s="288" t="s">
        <v>55</v>
      </c>
    </row>
    <row r="3" spans="1:7" ht="21" customHeight="1" x14ac:dyDescent="0.3">
      <c r="A3" s="304">
        <v>1</v>
      </c>
      <c r="B3" s="305" t="s">
        <v>5</v>
      </c>
      <c r="C3" s="306">
        <f>'1.DESPACHO'!C8</f>
        <v>29</v>
      </c>
      <c r="D3" s="307">
        <f>'1.DESPACHO'!D8</f>
        <v>0.99858000000000013</v>
      </c>
      <c r="E3" s="359">
        <f>'1.DESPACHO'!E8</f>
        <v>2236204242.96</v>
      </c>
      <c r="F3" s="359">
        <f>'1.DESPACHO'!F8</f>
        <v>2090616390.24</v>
      </c>
      <c r="G3" s="308">
        <f>'1.DESPACHO'!G8</f>
        <v>0.93489510040134371</v>
      </c>
    </row>
    <row r="4" spans="1:7" ht="21" customHeight="1" x14ac:dyDescent="0.3">
      <c r="A4" s="304">
        <v>2</v>
      </c>
      <c r="B4" s="309" t="s">
        <v>43</v>
      </c>
      <c r="C4" s="310">
        <f>'2.1 GOBIERNO Y CONVIVENCIA'!C18</f>
        <v>48</v>
      </c>
      <c r="D4" s="311">
        <f>'2.1 GOBIERNO Y CONVIVENCIA'!D18</f>
        <v>0.84642857142857142</v>
      </c>
      <c r="E4" s="360">
        <f>'2.1 GOBIERNO Y CONVIVENCIA'!E18</f>
        <v>17662222620.09</v>
      </c>
      <c r="F4" s="360">
        <f>'2.1 GOBIERNO Y CONVIVENCIA'!F18</f>
        <v>8767101876.1800003</v>
      </c>
      <c r="G4" s="312">
        <f>'2.1 GOBIERNO Y CONVIVENCIA'!G18</f>
        <v>0.49637591285978971</v>
      </c>
    </row>
    <row r="5" spans="1:7" ht="21" customHeight="1" x14ac:dyDescent="0.3">
      <c r="A5" s="304">
        <v>3</v>
      </c>
      <c r="B5" s="309" t="s">
        <v>42</v>
      </c>
      <c r="C5" s="310">
        <f>'2.2 DESARROLLO SOCIAL'!C21</f>
        <v>270</v>
      </c>
      <c r="D5" s="311">
        <f>'2.2 DESARROLLO SOCIAL'!D21</f>
        <v>0.94058823529411772</v>
      </c>
      <c r="E5" s="360">
        <f>'2.2 DESARROLLO SOCIAL'!E21</f>
        <v>11805775522</v>
      </c>
      <c r="F5" s="360">
        <f>'2.2 DESARROLLO SOCIAL'!F21</f>
        <v>6143847938</v>
      </c>
      <c r="G5" s="312">
        <f>'2.2 DESARROLLO SOCIAL'!G21</f>
        <v>0.52041036410958108</v>
      </c>
    </row>
    <row r="6" spans="1:7" ht="21" customHeight="1" x14ac:dyDescent="0.3">
      <c r="A6" s="304">
        <v>4</v>
      </c>
      <c r="B6" s="309" t="s">
        <v>41</v>
      </c>
      <c r="C6" s="310">
        <f>'2.3 SALUD'!C26</f>
        <v>107</v>
      </c>
      <c r="D6" s="311">
        <f>'2.3 SALUD'!D26</f>
        <v>0.99454545454545451</v>
      </c>
      <c r="E6" s="360">
        <f>'2.3 SALUD'!E26</f>
        <v>147432419366.92001</v>
      </c>
      <c r="F6" s="360">
        <f>'2.3 SALUD'!F26</f>
        <v>145176658433.88</v>
      </c>
      <c r="G6" s="312">
        <f>'2.3 SALUD'!G26</f>
        <v>0.98469969534023571</v>
      </c>
    </row>
    <row r="7" spans="1:7" ht="21" customHeight="1" x14ac:dyDescent="0.3">
      <c r="A7" s="304">
        <v>5</v>
      </c>
      <c r="B7" s="309" t="s">
        <v>44</v>
      </c>
      <c r="C7" s="310">
        <f>'2.4 DESARROLLO ECONOMICO'!C7</f>
        <v>41</v>
      </c>
      <c r="D7" s="311">
        <f>'2.4 DESARROLLO ECONOMICO'!D7</f>
        <v>0.977275</v>
      </c>
      <c r="E7" s="360">
        <f>'2.4 DESARROLLO ECONOMICO'!E7</f>
        <v>4844769960</v>
      </c>
      <c r="F7" s="360">
        <f>'2.4 DESARROLLO ECONOMICO'!F7</f>
        <v>3000545960.8199997</v>
      </c>
      <c r="G7" s="312">
        <f>'2.4 DESARROLLO ECONOMICO'!G7</f>
        <v>0.61933713790200262</v>
      </c>
    </row>
    <row r="8" spans="1:7" ht="21" customHeight="1" x14ac:dyDescent="0.3">
      <c r="A8" s="304">
        <v>6</v>
      </c>
      <c r="B8" s="309" t="s">
        <v>45</v>
      </c>
      <c r="C8" s="310">
        <f>'2.5 EDUCACION'!C41</f>
        <v>41</v>
      </c>
      <c r="D8" s="311">
        <f>'2.5 EDUCACION'!D41</f>
        <v>0.85866151911405486</v>
      </c>
      <c r="E8" s="360">
        <f>'2.5 EDUCACION'!E41</f>
        <v>168926168432.71997</v>
      </c>
      <c r="F8" s="360">
        <f>'2.5 EDUCACION'!F41</f>
        <v>160492358456.98001</v>
      </c>
      <c r="G8" s="312">
        <f>'2.5 EDUCACION'!G41</f>
        <v>0.95007398762436868</v>
      </c>
    </row>
    <row r="9" spans="1:7" ht="21" customHeight="1" x14ac:dyDescent="0.3">
      <c r="A9" s="304">
        <v>7</v>
      </c>
      <c r="B9" s="309" t="s">
        <v>40</v>
      </c>
      <c r="C9" s="310">
        <f>'2.6 INFRAESTRUCTURA'!C21</f>
        <v>85</v>
      </c>
      <c r="D9" s="313">
        <f>'2.6 INFRAESTRUCTURA'!D21</f>
        <v>0.43905555555555559</v>
      </c>
      <c r="E9" s="360">
        <f>'2.6 INFRAESTRUCTURA'!E21</f>
        <v>59345136446</v>
      </c>
      <c r="F9" s="360">
        <f>'2.6 INFRAESTRUCTURA'!F21</f>
        <v>28494678114</v>
      </c>
      <c r="G9" s="314">
        <f>'2.6 INFRAESTRUCTURA'!G21</f>
        <v>0.48015186787763475</v>
      </c>
    </row>
    <row r="10" spans="1:7" ht="23.25" customHeight="1" x14ac:dyDescent="0.3">
      <c r="A10" s="304">
        <v>8</v>
      </c>
      <c r="B10" s="309" t="s">
        <v>39</v>
      </c>
      <c r="C10" s="310">
        <f>'2.7 TRANSITO'!C7</f>
        <v>13</v>
      </c>
      <c r="D10" s="311">
        <f>'2.7 TRANSITO'!D7</f>
        <v>0.82024999999999992</v>
      </c>
      <c r="E10" s="360">
        <f>'2.7 TRANSITO'!E7</f>
        <v>11069638531</v>
      </c>
      <c r="F10" s="360">
        <f>'2.7 TRANSITO'!F7</f>
        <v>7249431187.8800001</v>
      </c>
      <c r="G10" s="312">
        <f>'2.7 TRANSITO'!G7</f>
        <v>0.65489321693552238</v>
      </c>
    </row>
    <row r="11" spans="1:7" x14ac:dyDescent="0.3">
      <c r="A11" s="304">
        <v>9</v>
      </c>
      <c r="B11" s="315" t="s">
        <v>38</v>
      </c>
      <c r="C11" s="310">
        <f>'2.8 TICS'!C8</f>
        <v>12</v>
      </c>
      <c r="D11" s="311">
        <f>'2.8 TICS'!D8</f>
        <v>0.57889999999999997</v>
      </c>
      <c r="E11" s="360">
        <f>'2.8 TICS'!E8</f>
        <v>2607289450</v>
      </c>
      <c r="F11" s="360">
        <f>'2.8 TICS'!F8</f>
        <v>1283141427</v>
      </c>
      <c r="G11" s="312">
        <f>'2.8 TICS'!G8</f>
        <v>0.49213616347812861</v>
      </c>
    </row>
    <row r="12" spans="1:7" ht="21" customHeight="1" x14ac:dyDescent="0.3">
      <c r="A12" s="304">
        <v>12</v>
      </c>
      <c r="B12" s="315" t="s">
        <v>347</v>
      </c>
      <c r="C12" s="310">
        <f>'2.9 HACIENDA'!C6</f>
        <v>23</v>
      </c>
      <c r="D12" s="311">
        <f>'2.9 HACIENDA'!D6</f>
        <v>1</v>
      </c>
      <c r="E12" s="360">
        <f>'2.9 HACIENDA'!E6</f>
        <v>10053193763.110001</v>
      </c>
      <c r="F12" s="360">
        <f>'2.9 HACIENDA'!F6</f>
        <v>9446660427.1399994</v>
      </c>
      <c r="G12" s="312">
        <f>'2.9 HACIENDA'!G6</f>
        <v>0.93966759715746617</v>
      </c>
    </row>
    <row r="13" spans="1:7" ht="21" customHeight="1" x14ac:dyDescent="0.3">
      <c r="A13" s="304">
        <v>10</v>
      </c>
      <c r="B13" s="315" t="s">
        <v>37</v>
      </c>
      <c r="C13" s="310">
        <f>'3.1 FORTALECIMIENTO INSTITUCION'!C6</f>
        <v>11</v>
      </c>
      <c r="D13" s="311">
        <f>'3.1 FORTALECIMIENTO INSTITUCION'!D6</f>
        <v>0.92410000000000003</v>
      </c>
      <c r="E13" s="360">
        <f>'3.1 FORTALECIMIENTO INSTITUCION'!E6</f>
        <v>5141222655</v>
      </c>
      <c r="F13" s="360">
        <f>'3.1 FORTALECIMIENTO INSTITUCION'!F6</f>
        <v>4582204619</v>
      </c>
      <c r="G13" s="312">
        <f>'3.1 FORTALECIMIENTO INSTITUCION'!G6</f>
        <v>0.8912674915068427</v>
      </c>
    </row>
    <row r="14" spans="1:7" ht="21" customHeight="1" x14ac:dyDescent="0.3">
      <c r="A14" s="304">
        <v>11</v>
      </c>
      <c r="B14" s="315" t="s">
        <v>36</v>
      </c>
      <c r="C14" s="310">
        <f>'3.2 JURIDICA'!C5</f>
        <v>3</v>
      </c>
      <c r="D14" s="311">
        <f>'3.2 JURIDICA'!D5</f>
        <v>1</v>
      </c>
      <c r="E14" s="360">
        <f>'3.2 JURIDICA'!E5</f>
        <v>1334800000</v>
      </c>
      <c r="F14" s="360">
        <f>'3.2 JURIDICA'!F5</f>
        <v>1201800194</v>
      </c>
      <c r="G14" s="312">
        <f>'3.2 JURIDICA'!G5</f>
        <v>0.90035974977524724</v>
      </c>
    </row>
    <row r="15" spans="1:7" ht="21" customHeight="1" x14ac:dyDescent="0.3">
      <c r="A15" s="304">
        <v>13</v>
      </c>
      <c r="B15" s="315" t="s">
        <v>35</v>
      </c>
      <c r="C15" s="310">
        <f>'3.4 BIENES Y SUMINISTROS'!C7</f>
        <v>15</v>
      </c>
      <c r="D15" s="311">
        <f>'3.4 BIENES Y SUMINISTROS'!D7</f>
        <v>0.69666666666666666</v>
      </c>
      <c r="E15" s="360">
        <f>'3.4 BIENES Y SUMINISTROS'!E7</f>
        <v>821749999</v>
      </c>
      <c r="F15" s="360">
        <f>'3.4 BIENES Y SUMINISTROS'!F7</f>
        <v>768605522</v>
      </c>
      <c r="G15" s="312">
        <f>'3.4 BIENES Y SUMINISTROS'!G7</f>
        <v>0.93532768230645291</v>
      </c>
    </row>
    <row r="16" spans="1:7" ht="21" customHeight="1" x14ac:dyDescent="0.3">
      <c r="A16" s="304">
        <v>14</v>
      </c>
      <c r="B16" s="315" t="s">
        <v>46</v>
      </c>
      <c r="C16" s="310">
        <f>'3.5 PLANEACION'!C23</f>
        <v>125</v>
      </c>
      <c r="D16" s="311">
        <f>'3.5 PLANEACION'!D23</f>
        <v>0.87094500000000008</v>
      </c>
      <c r="E16" s="360">
        <f>'3.5 PLANEACION'!E23</f>
        <v>13352714768.73</v>
      </c>
      <c r="F16" s="360">
        <f>'3.5 PLANEACION'!F23</f>
        <v>8043101211.1499996</v>
      </c>
      <c r="G16" s="312">
        <f>'3.5 PLANEACION'!G23</f>
        <v>0.60235700009002691</v>
      </c>
    </row>
    <row r="17" spans="1:8" ht="21" customHeight="1" x14ac:dyDescent="0.3">
      <c r="A17" s="304">
        <v>15</v>
      </c>
      <c r="B17" s="315" t="s">
        <v>34</v>
      </c>
      <c r="C17" s="310">
        <f>'3.6 CONTROL INTERNO'!C6</f>
        <v>7</v>
      </c>
      <c r="D17" s="311">
        <f>'3.6 CONTROL INTERNO'!D6</f>
        <v>1</v>
      </c>
      <c r="E17" s="360">
        <f>'3.6 CONTROL INTERNO'!E6</f>
        <v>580000000</v>
      </c>
      <c r="F17" s="360">
        <f>'3.6 CONTROL INTERNO'!F6</f>
        <v>559483334</v>
      </c>
      <c r="G17" s="312">
        <f>'3.6 CONTROL INTERNO'!G6</f>
        <v>0.96462643793103453</v>
      </c>
    </row>
    <row r="18" spans="1:8" ht="21" customHeight="1" x14ac:dyDescent="0.3">
      <c r="A18" s="304">
        <v>16</v>
      </c>
      <c r="B18" s="315" t="s">
        <v>33</v>
      </c>
      <c r="C18" s="310">
        <f>'3.7. DACID'!C4</f>
        <v>7</v>
      </c>
      <c r="D18" s="311">
        <f>'3.7. DACID'!D4</f>
        <v>1</v>
      </c>
      <c r="E18" s="360">
        <f>'3.7. DACID'!E4</f>
        <v>639495000</v>
      </c>
      <c r="F18" s="360">
        <f>'3.7. DACID'!F4</f>
        <v>620218446</v>
      </c>
      <c r="G18" s="312">
        <f>'3.7. DACID'!G4</f>
        <v>0.96985659934792301</v>
      </c>
    </row>
    <row r="19" spans="1:8" ht="21" customHeight="1" x14ac:dyDescent="0.3">
      <c r="A19" s="304">
        <v>17</v>
      </c>
      <c r="B19" s="315" t="s">
        <v>9</v>
      </c>
      <c r="C19" s="310">
        <f>'4.1 FOMVIVIENDA'!C6</f>
        <v>11</v>
      </c>
      <c r="D19" s="311">
        <f>'4.1 FOMVIVIENDA'!D6</f>
        <v>0.9814666666666666</v>
      </c>
      <c r="E19" s="360">
        <f>'4.1 FOMVIVIENDA'!E6</f>
        <v>755907048</v>
      </c>
      <c r="F19" s="360">
        <f>'4.1 FOMVIVIENDA'!F6</f>
        <v>752529584</v>
      </c>
      <c r="G19" s="312">
        <f>'4.1 FOMVIVIENDA'!G6</f>
        <v>0.99553190566361804</v>
      </c>
    </row>
    <row r="20" spans="1:8" x14ac:dyDescent="0.3">
      <c r="A20" s="304">
        <v>18</v>
      </c>
      <c r="B20" s="315" t="s">
        <v>10</v>
      </c>
      <c r="C20" s="310">
        <f>'4.2 EDUA'!C5</f>
        <v>2</v>
      </c>
      <c r="D20" s="313">
        <f>'4.2 EDUA'!D5</f>
        <v>0.97499999999999998</v>
      </c>
      <c r="E20" s="360">
        <f>'4.2 EDUA'!E5</f>
        <v>1177543627</v>
      </c>
      <c r="F20" s="360">
        <f>'4.2 EDUA'!F5</f>
        <v>1031397575</v>
      </c>
      <c r="G20" s="314">
        <f>'4.2 EDUA'!G5</f>
        <v>0.87588905527659067</v>
      </c>
    </row>
    <row r="21" spans="1:8" ht="18.75" customHeight="1" x14ac:dyDescent="0.3">
      <c r="A21" s="304">
        <v>19</v>
      </c>
      <c r="B21" s="315" t="s">
        <v>11</v>
      </c>
      <c r="C21" s="310">
        <f>'4.3 CORPOCULTURA'!C26</f>
        <v>23</v>
      </c>
      <c r="D21" s="311">
        <f>'4.3 CORPOCULTURA'!D26</f>
        <v>0.78592464094319536</v>
      </c>
      <c r="E21" s="360">
        <f>'4.3 CORPOCULTURA'!E26</f>
        <v>3202019203.5599999</v>
      </c>
      <c r="F21" s="360">
        <f>'4.3 CORPOCULTURA'!F26</f>
        <v>2330594999</v>
      </c>
      <c r="G21" s="312">
        <f>'4.3 CORPOCULTURA'!G26</f>
        <v>0.72785166197905626</v>
      </c>
    </row>
    <row r="22" spans="1:8" ht="21" customHeight="1" x14ac:dyDescent="0.3">
      <c r="A22" s="304">
        <v>20</v>
      </c>
      <c r="B22" s="315" t="s">
        <v>12</v>
      </c>
      <c r="C22" s="310">
        <f>'4.4 IMDERA'!C8</f>
        <v>11</v>
      </c>
      <c r="D22" s="311">
        <f>'4.4 IMDERA'!D8</f>
        <v>0.8</v>
      </c>
      <c r="E22" s="360">
        <f>'4.4 IMDERA'!E8</f>
        <v>3457796607</v>
      </c>
      <c r="F22" s="360">
        <f>'4.4 IMDERA'!F8</f>
        <v>3388230049</v>
      </c>
      <c r="G22" s="312">
        <f>'4.4 IMDERA'!G8</f>
        <v>0.97988124638124496</v>
      </c>
    </row>
    <row r="23" spans="1:8" ht="18.75" customHeight="1" x14ac:dyDescent="0.3">
      <c r="A23" s="304">
        <v>21</v>
      </c>
      <c r="B23" s="315" t="s">
        <v>47</v>
      </c>
      <c r="C23" s="316">
        <f>'4.5 EPA'!C61</f>
        <v>138</v>
      </c>
      <c r="D23" s="313">
        <f>'4.5 EPA'!D61</f>
        <v>0.94206140350877188</v>
      </c>
      <c r="E23" s="360">
        <f>'4.5 EPA'!E61</f>
        <v>31247945167.130001</v>
      </c>
      <c r="F23" s="360">
        <f>'4.5 EPA'!F61</f>
        <v>29508866411.93</v>
      </c>
      <c r="G23" s="314">
        <f>'4.5 EPA'!G61</f>
        <v>0.94434582031239123</v>
      </c>
    </row>
    <row r="24" spans="1:8" ht="21" customHeight="1" x14ac:dyDescent="0.3">
      <c r="A24" s="304">
        <v>22</v>
      </c>
      <c r="B24" s="315" t="s">
        <v>48</v>
      </c>
      <c r="C24" s="316">
        <f>'4.6 AMABLE'!C12</f>
        <v>9</v>
      </c>
      <c r="D24" s="311">
        <f>'4.6 AMABLE'!D12</f>
        <v>0.66717948717948716</v>
      </c>
      <c r="E24" s="360">
        <f>'4.6 AMABLE'!E12</f>
        <v>41958153041.199997</v>
      </c>
      <c r="F24" s="360">
        <f>'4.6 AMABLE'!F12</f>
        <v>14005264261.940001</v>
      </c>
      <c r="G24" s="312">
        <f>'4.6 AMABLE'!G12</f>
        <v>0.33379124786993847</v>
      </c>
    </row>
    <row r="25" spans="1:8" ht="21" customHeight="1" thickBot="1" x14ac:dyDescent="0.35">
      <c r="A25" s="304">
        <v>23</v>
      </c>
      <c r="B25" s="317" t="s">
        <v>131</v>
      </c>
      <c r="C25" s="318">
        <f>'4.7 REDSALUD'!C3</f>
        <v>1</v>
      </c>
      <c r="D25" s="319">
        <f>'4.7 REDSALUD'!D4</f>
        <v>1</v>
      </c>
      <c r="E25" s="361" t="str">
        <f>'4.7 REDSALUD'!E3</f>
        <v>Recursos Gestionados</v>
      </c>
      <c r="F25" s="361">
        <f>'4.7 REDSALUD'!F3</f>
        <v>208096850</v>
      </c>
      <c r="G25" s="320">
        <f>'4.7 REDSALUD'!G3</f>
        <v>1</v>
      </c>
    </row>
    <row r="26" spans="1:8" ht="21" customHeight="1" thickBot="1" x14ac:dyDescent="0.35">
      <c r="B26" s="321" t="s">
        <v>0</v>
      </c>
      <c r="C26" s="322">
        <f>SUM(C3:C25)</f>
        <v>1032</v>
      </c>
      <c r="D26" s="323">
        <f>SUM(D3:D25)/23</f>
        <v>0.87380992177837136</v>
      </c>
      <c r="E26" s="363">
        <f>SUM(E3:E25)</f>
        <v>539652165451.41992</v>
      </c>
      <c r="F26" s="363">
        <f>SUM(F3:F25)</f>
        <v>439145433269.14008</v>
      </c>
      <c r="G26" s="325">
        <f>F26/E26</f>
        <v>0.81375645533043339</v>
      </c>
      <c r="H26" s="326"/>
    </row>
    <row r="27" spans="1:8" ht="21" hidden="1" customHeight="1" x14ac:dyDescent="0.3">
      <c r="B27" s="86"/>
      <c r="C27" s="327"/>
      <c r="D27" s="328">
        <v>1</v>
      </c>
      <c r="E27" s="329"/>
      <c r="F27" s="329"/>
      <c r="G27" s="330">
        <v>1</v>
      </c>
      <c r="H27" s="326"/>
    </row>
    <row r="28" spans="1:8" ht="21" hidden="1" customHeight="1" x14ac:dyDescent="0.3">
      <c r="B28" s="86"/>
      <c r="C28" s="327"/>
      <c r="D28" s="328">
        <v>0</v>
      </c>
      <c r="E28" s="329"/>
      <c r="F28" s="329"/>
      <c r="G28" s="330">
        <v>0</v>
      </c>
      <c r="H28" s="326"/>
    </row>
    <row r="29" spans="1:8" x14ac:dyDescent="0.3">
      <c r="G29" s="332"/>
    </row>
    <row r="30" spans="1:8" ht="19.5" thickBot="1" x14ac:dyDescent="0.35">
      <c r="E30" s="333"/>
      <c r="F30" s="334"/>
    </row>
    <row r="31" spans="1:8" ht="19.5" thickBot="1" x14ac:dyDescent="0.35">
      <c r="E31" s="739" t="s">
        <v>191</v>
      </c>
      <c r="F31" s="740"/>
      <c r="G31" s="741"/>
    </row>
    <row r="32" spans="1:8" ht="19.5" thickBot="1" x14ac:dyDescent="0.35">
      <c r="E32" s="335" t="s">
        <v>13</v>
      </c>
      <c r="F32" s="336" t="s">
        <v>14</v>
      </c>
      <c r="G32" s="337" t="s">
        <v>15</v>
      </c>
    </row>
    <row r="33" spans="3:7" x14ac:dyDescent="0.3">
      <c r="E33" s="338" t="s">
        <v>345</v>
      </c>
      <c r="F33" s="339">
        <v>12</v>
      </c>
      <c r="G33" s="340">
        <f>F33/F36</f>
        <v>0.52173913043478259</v>
      </c>
    </row>
    <row r="34" spans="3:7" x14ac:dyDescent="0.3">
      <c r="E34" s="341" t="s">
        <v>346</v>
      </c>
      <c r="F34" s="342">
        <v>6</v>
      </c>
      <c r="G34" s="340">
        <f>F34/F36</f>
        <v>0.2608695652173913</v>
      </c>
    </row>
    <row r="35" spans="3:7" ht="19.5" thickBot="1" x14ac:dyDescent="0.35">
      <c r="E35" s="343" t="s">
        <v>344</v>
      </c>
      <c r="F35" s="344">
        <v>5</v>
      </c>
      <c r="G35" s="340">
        <f>F35/F36</f>
        <v>0.21739130434782608</v>
      </c>
    </row>
    <row r="36" spans="3:7" ht="19.5" thickBot="1" x14ac:dyDescent="0.35">
      <c r="E36" s="345" t="s">
        <v>27</v>
      </c>
      <c r="F36" s="346">
        <f>SUM(F33:F35)</f>
        <v>23</v>
      </c>
      <c r="G36" s="347"/>
    </row>
    <row r="37" spans="3:7" x14ac:dyDescent="0.3">
      <c r="E37" s="348"/>
      <c r="F37" s="348"/>
      <c r="G37" s="349"/>
    </row>
    <row r="38" spans="3:7" ht="19.5" thickBot="1" x14ac:dyDescent="0.35">
      <c r="E38" s="350"/>
      <c r="F38" s="350"/>
      <c r="G38" s="349"/>
    </row>
    <row r="39" spans="3:7" ht="19.5" thickBot="1" x14ac:dyDescent="0.35">
      <c r="E39" s="745" t="s">
        <v>181</v>
      </c>
      <c r="F39" s="740"/>
      <c r="G39" s="741"/>
    </row>
    <row r="40" spans="3:7" ht="19.5" thickBot="1" x14ac:dyDescent="0.35">
      <c r="E40" s="335" t="s">
        <v>13</v>
      </c>
      <c r="F40" s="336" t="s">
        <v>14</v>
      </c>
      <c r="G40" s="337" t="s">
        <v>15</v>
      </c>
    </row>
    <row r="41" spans="3:7" x14ac:dyDescent="0.3">
      <c r="E41" s="338" t="s">
        <v>345</v>
      </c>
      <c r="F41" s="339">
        <f>SUM('1.DESPACHO'!F14+'2.1 GOBIERNO Y CONVIVENCIA'!F23+'2.4 DESARROLLO ECONOMICO'!F13+'2.5 EDUCACION'!F47+'2.6 INFRAESTRUCTURA'!F27+'2.7 TRANSITO'!F13+'2.8 TICS'!F14+'3.1 FORTALECIMIENTO INSTITUCION'!F12+'2.9 HACIENDA'!F12+'3.4 BIENES Y SUMINISTROS'!F13+'3.5 PLANEACION'!F31+'3.6 CONTROL INTERNO'!F13+'3.7. DACID'!F10+'4.1 FOMVIVIENDA'!F12+'4.2 EDUA'!F11+'4.4 IMDERA'!F14+'4.5 EPA'!F67+'4.6 AMABLE'!F19+'4.7 REDSALUD'!F10)</f>
        <v>482</v>
      </c>
      <c r="G41" s="340">
        <f>F41/F44</f>
        <v>0.46705426356589147</v>
      </c>
    </row>
    <row r="42" spans="3:7" x14ac:dyDescent="0.3">
      <c r="E42" s="341" t="s">
        <v>346</v>
      </c>
      <c r="F42" s="342">
        <f>SUM('1.DESPACHO'!F15+'2.1 GOBIERNO Y CONVIVENCIA'!F24+'2.2 DESARROLLO SOCIAL'!F28+'2.3 SALUD'!F33+'2.4 DESARROLLO ECONOMICO'!F14+'2.5 EDUCACION'!F48+'2.6 INFRAESTRUCTURA'!F28+'2.7 TRANSITO'!F14+'2.8 TICS'!F15+'3.1 FORTALECIMIENTO INSTITUCION'!F13+'3.2 JURIDICA'!F12+'2.9 HACIENDA'!F13+'3.4 BIENES Y SUMINISTROS'!F14+'3.5 PLANEACION'!F32+'3.6 CONTROL INTERNO'!F14+'3.7. DACID'!F11+'4.1 FOMVIVIENDA'!F13+'4.2 EDUA'!F12+'4.3 CORPOCULTURA'!F34+'4.4 IMDERA'!F15+'4.5 EPA'!F68+'4.6 AMABLE'!F20+'4.7 REDSALUD'!F11)</f>
        <v>42</v>
      </c>
      <c r="G42" s="340">
        <f>F42/F44</f>
        <v>4.0697674418604654E-2</v>
      </c>
    </row>
    <row r="43" spans="3:7" ht="19.5" thickBot="1" x14ac:dyDescent="0.35">
      <c r="E43" s="351" t="s">
        <v>344</v>
      </c>
      <c r="F43" s="344">
        <f>SUM('1.DESPACHO'!F16+'2.1 GOBIERNO Y CONVIVENCIA'!F25+'2.2 DESARROLLO SOCIAL'!F29+'2.3 SALUD'!F34+'2.6 INFRAESTRUCTURA'!F29+'2.7 TRANSITO'!F15+'2.8 TICS'!F16+'3.1 FORTALECIMIENTO INSTITUCION'!F14+'3.2 JURIDICA'!F13+'2.9 HACIENDA'!F14+'3.4 BIENES Y SUMINISTROS'!F15+'3.5 PLANEACION'!F33+'3.6 CONTROL INTERNO'!F15+'3.7. DACID'!F12+'4.3 CORPOCULTURA'!F35+'4.4 IMDERA'!F16+'4.5 EPA'!F69+'4.7 REDSALUD'!F12)</f>
        <v>143</v>
      </c>
      <c r="G43" s="340">
        <f>F43/F44</f>
        <v>0.13856589147286821</v>
      </c>
    </row>
    <row r="44" spans="3:7" ht="19.5" thickBot="1" x14ac:dyDescent="0.35">
      <c r="E44" s="345" t="s">
        <v>182</v>
      </c>
      <c r="F44" s="346">
        <f>C26</f>
        <v>1032</v>
      </c>
      <c r="G44" s="347"/>
    </row>
    <row r="45" spans="3:7" x14ac:dyDescent="0.3">
      <c r="E45" s="350"/>
      <c r="F45" s="350"/>
      <c r="G45" s="349"/>
    </row>
    <row r="46" spans="3:7" ht="19.5" thickBot="1" x14ac:dyDescent="0.35">
      <c r="C46" s="352"/>
      <c r="E46" s="350"/>
      <c r="F46" s="350"/>
      <c r="G46" s="349"/>
    </row>
    <row r="47" spans="3:7" ht="19.5" thickBot="1" x14ac:dyDescent="0.35">
      <c r="E47" s="742" t="s">
        <v>31</v>
      </c>
      <c r="F47" s="743"/>
      <c r="G47" s="744"/>
    </row>
    <row r="48" spans="3:7" ht="19.5" thickBot="1" x14ac:dyDescent="0.35">
      <c r="E48" s="353" t="s">
        <v>3</v>
      </c>
      <c r="F48" s="354" t="s">
        <v>4</v>
      </c>
      <c r="G48" s="355" t="s">
        <v>212</v>
      </c>
    </row>
    <row r="49" spans="5:7" ht="19.5" thickBot="1" x14ac:dyDescent="0.35">
      <c r="E49" s="356">
        <f>E26</f>
        <v>539652165451.41992</v>
      </c>
      <c r="F49" s="357">
        <f>F26</f>
        <v>439145433269.14008</v>
      </c>
      <c r="G49" s="358">
        <f>F49/E49</f>
        <v>0.81375645533043339</v>
      </c>
    </row>
  </sheetData>
  <autoFilter ref="A2:H28"/>
  <mergeCells count="4">
    <mergeCell ref="B1:G1"/>
    <mergeCell ref="E31:G31"/>
    <mergeCell ref="E47:G47"/>
    <mergeCell ref="E39:G39"/>
  </mergeCells>
  <conditionalFormatting sqref="D3:D5 D10:D11 D7:D8">
    <cfRule type="colorScale" priority="2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7:G8">
    <cfRule type="colorScale" priority="25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3">
    <cfRule type="colorScale" priority="24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10:D11 D13 D7:D8">
    <cfRule type="colorScale" priority="2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13 G7:G8">
    <cfRule type="colorScale" priority="2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">
    <cfRule type="colorScale" priority="2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">
    <cfRule type="colorScale" priority="23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">
    <cfRule type="colorScale" priority="2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">
    <cfRule type="colorScale" priority="2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 D3:D5 D7:D11 D13">
    <cfRule type="colorScale" priority="234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26:G28 G3:G5 G7:G11 G13">
    <cfRule type="colorScale" priority="233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3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7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4">
    <cfRule type="colorScale" priority="2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2">
    <cfRule type="colorScale" priority="21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1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1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5">
    <cfRule type="colorScale" priority="20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20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7">
    <cfRule type="colorScale" priority="19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7:D15 D26:D28 D17">
    <cfRule type="colorScale" priority="1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15 G26:G28 G17">
    <cfRule type="colorScale" priority="1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6">
    <cfRule type="colorScale" priority="17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7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8">
    <cfRule type="colorScale" priority="16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5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5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51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9">
    <cfRule type="colorScale" priority="14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8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4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">
    <cfRule type="colorScale" priority="1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">
    <cfRule type="colorScale" priority="1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0">
    <cfRule type="colorScale" priority="13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3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0">
    <cfRule type="colorScale" priority="1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0">
    <cfRule type="colorScale" priority="1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0">
    <cfRule type="colorScale" priority="12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0">
    <cfRule type="colorScale" priority="1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2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1">
    <cfRule type="colorScale" priority="11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0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1">
    <cfRule type="colorScale" priority="10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0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1">
    <cfRule type="colorScale" priority="10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1">
    <cfRule type="colorScale" priority="10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1">
    <cfRule type="colorScale" priority="10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10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10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10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2:D23">
    <cfRule type="colorScale" priority="9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9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8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2:D23">
    <cfRule type="colorScale" priority="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2:G23">
    <cfRule type="colorScale" priority="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26:D28 D17:D23">
    <cfRule type="colorScale" priority="8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26:G28 G17:G23">
    <cfRule type="colorScale" priority="82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8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8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5">
    <cfRule type="colorScale" priority="7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7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6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5">
    <cfRule type="colorScale" priority="6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5">
    <cfRule type="colorScale" priority="60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5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24">
    <cfRule type="colorScale" priority="5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5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4">
    <cfRule type="colorScale" priority="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4">
    <cfRule type="colorScale" priority="38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3:D15 D17:D28">
    <cfRule type="colorScale" priority="3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15 G17:G28"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0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6"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5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4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8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ile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8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ile" val="50"/>
        <cfvo type="max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:D28 D3:D5 D7:D14">
    <cfRule type="colorScale" priority="45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5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 G3:G5 G7:G14">
    <cfRule type="colorScale" priority="46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256" scale="4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33"/>
  <sheetViews>
    <sheetView view="pageBreakPreview" zoomScale="80" zoomScaleNormal="80" zoomScaleSheetLayoutView="80" workbookViewId="0">
      <selection activeCell="C18" sqref="C18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8.85546875" style="3" customWidth="1"/>
    <col min="6" max="6" width="30.85546875" style="3" customWidth="1"/>
    <col min="7" max="7" width="24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58" t="s">
        <v>325</v>
      </c>
      <c r="C1" s="759"/>
      <c r="D1" s="759"/>
      <c r="E1" s="759"/>
      <c r="F1" s="759"/>
      <c r="G1" s="760"/>
    </row>
    <row r="2" spans="1:7" s="2" customFormat="1" ht="97.5" customHeight="1" thickBot="1" x14ac:dyDescent="0.3">
      <c r="B2" s="14" t="s">
        <v>1</v>
      </c>
      <c r="C2" s="170" t="s">
        <v>54</v>
      </c>
      <c r="D2" s="170" t="s">
        <v>62</v>
      </c>
      <c r="E2" s="171" t="s">
        <v>56</v>
      </c>
      <c r="F2" s="172" t="s">
        <v>57</v>
      </c>
      <c r="G2" s="173" t="s">
        <v>55</v>
      </c>
    </row>
    <row r="3" spans="1:7" s="2" customFormat="1" ht="47.25" customHeight="1" thickBot="1" x14ac:dyDescent="0.3">
      <c r="A3" s="4">
        <v>1</v>
      </c>
      <c r="B3" s="459" t="s">
        <v>162</v>
      </c>
      <c r="C3" s="460">
        <v>12</v>
      </c>
      <c r="D3" s="461">
        <f>[5]CONSOLIDADO!C52</f>
        <v>1</v>
      </c>
      <c r="E3" s="462">
        <f>[5]CONSOLIDADO!D52</f>
        <v>1729000000</v>
      </c>
      <c r="F3" s="462">
        <f>[5]CONSOLIDADO!E52</f>
        <v>1517325042.28</v>
      </c>
      <c r="G3" s="463">
        <f>F3/E3</f>
        <v>0.87757376650086749</v>
      </c>
    </row>
    <row r="4" spans="1:7" s="2" customFormat="1" ht="78.75" customHeight="1" thickBot="1" x14ac:dyDescent="0.3">
      <c r="A4" s="4">
        <v>2</v>
      </c>
      <c r="B4" s="464" t="s">
        <v>77</v>
      </c>
      <c r="C4" s="465">
        <v>15</v>
      </c>
      <c r="D4" s="466">
        <f>[5]CONSOLIDADO!C53</f>
        <v>1</v>
      </c>
      <c r="E4" s="467">
        <f>[5]CONSOLIDADO!D53</f>
        <v>1557169160</v>
      </c>
      <c r="F4" s="467">
        <f>[5]CONSOLIDADO!E53</f>
        <v>964593004</v>
      </c>
      <c r="G4" s="463">
        <f>F4/E4</f>
        <v>0.61945293342439434</v>
      </c>
    </row>
    <row r="5" spans="1:7" s="2" customFormat="1" ht="72.75" thickBot="1" x14ac:dyDescent="0.3">
      <c r="A5" s="4">
        <v>3</v>
      </c>
      <c r="B5" s="464" t="s">
        <v>78</v>
      </c>
      <c r="C5" s="465">
        <v>11</v>
      </c>
      <c r="D5" s="466">
        <f>[5]CONSOLIDADO!C54</f>
        <v>0.90910000000000002</v>
      </c>
      <c r="E5" s="468">
        <f>[5]CONSOLIDADO!D54</f>
        <v>1558600800</v>
      </c>
      <c r="F5" s="468">
        <f>[5]CONSOLIDADO!E54</f>
        <v>518627914.54000002</v>
      </c>
      <c r="G5" s="463">
        <f>F5/E5</f>
        <v>0.33275224453881969</v>
      </c>
    </row>
    <row r="6" spans="1:7" s="2" customFormat="1" ht="63.75" customHeight="1" thickBot="1" x14ac:dyDescent="0.3">
      <c r="A6" s="4">
        <v>4</v>
      </c>
      <c r="B6" s="464" t="s">
        <v>79</v>
      </c>
      <c r="C6" s="465">
        <v>3</v>
      </c>
      <c r="D6" s="466">
        <f>[5]CONSOLIDADO!C55</f>
        <v>1</v>
      </c>
      <c r="E6" s="465" t="str">
        <f>[5]CONSOLIDADO!D55</f>
        <v xml:space="preserve">Actividades de Gestión </v>
      </c>
      <c r="F6" s="469" t="str">
        <f>[5]CONSOLIDADO!E55</f>
        <v xml:space="preserve">Actividades de Gestión </v>
      </c>
      <c r="G6" s="470" t="s">
        <v>180</v>
      </c>
    </row>
    <row r="7" spans="1:7" s="2" customFormat="1" ht="24" customHeight="1" thickBot="1" x14ac:dyDescent="0.3">
      <c r="A7" s="4"/>
      <c r="B7" s="471" t="s">
        <v>0</v>
      </c>
      <c r="C7" s="472">
        <f>SUM(C3:C6)</f>
        <v>41</v>
      </c>
      <c r="D7" s="449">
        <f>SUM(D3:D6)/4</f>
        <v>0.977275</v>
      </c>
      <c r="E7" s="451">
        <f>SUM(E3:E6)</f>
        <v>4844769960</v>
      </c>
      <c r="F7" s="451">
        <f>SUM(F3:F6)</f>
        <v>3000545960.8199997</v>
      </c>
      <c r="G7" s="473">
        <f>F7/E7</f>
        <v>0.61933713790200262</v>
      </c>
    </row>
    <row r="8" spans="1:7" s="2" customFormat="1" ht="24" hidden="1" customHeight="1" x14ac:dyDescent="0.25">
      <c r="A8" s="4"/>
      <c r="B8" s="98"/>
      <c r="C8" s="99"/>
      <c r="D8" s="107">
        <v>1</v>
      </c>
      <c r="E8" s="38"/>
      <c r="F8" s="38"/>
      <c r="G8" s="108">
        <v>1</v>
      </c>
    </row>
    <row r="9" spans="1:7" s="2" customFormat="1" ht="24" hidden="1" customHeight="1" x14ac:dyDescent="0.25">
      <c r="A9" s="4"/>
      <c r="B9" s="1"/>
      <c r="C9" s="1"/>
      <c r="D9" s="225">
        <v>0</v>
      </c>
      <c r="E9" s="3"/>
      <c r="F9" s="3"/>
      <c r="G9" s="225">
        <v>0</v>
      </c>
    </row>
    <row r="10" spans="1:7" s="2" customFormat="1" ht="18.75" customHeight="1" thickBot="1" x14ac:dyDescent="0.3">
      <c r="A10" s="4"/>
      <c r="E10" s="425"/>
      <c r="F10" s="425"/>
      <c r="G10" s="283"/>
    </row>
    <row r="11" spans="1:7" s="2" customFormat="1" ht="18.95" customHeight="1" thickBot="1" x14ac:dyDescent="0.3">
      <c r="A11" s="4"/>
      <c r="E11" s="767" t="s">
        <v>16</v>
      </c>
      <c r="F11" s="768"/>
      <c r="G11" s="769"/>
    </row>
    <row r="12" spans="1:7" s="2" customFormat="1" ht="18.600000000000001" customHeight="1" thickBot="1" x14ac:dyDescent="0.3">
      <c r="A12" s="4"/>
      <c r="B12" s="3"/>
      <c r="C12" s="3"/>
      <c r="D12" s="3"/>
      <c r="E12" s="289" t="s">
        <v>13</v>
      </c>
      <c r="F12" s="290" t="s">
        <v>14</v>
      </c>
      <c r="G12" s="291" t="s">
        <v>15</v>
      </c>
    </row>
    <row r="13" spans="1:7" s="2" customFormat="1" ht="15.75" x14ac:dyDescent="0.25">
      <c r="A13" s="4"/>
      <c r="B13" s="3"/>
      <c r="C13" s="3"/>
      <c r="D13" s="3"/>
      <c r="E13" s="292" t="s">
        <v>345</v>
      </c>
      <c r="F13" s="293">
        <v>39</v>
      </c>
      <c r="G13" s="294">
        <f>F13/F16</f>
        <v>0.95121951219512191</v>
      </c>
    </row>
    <row r="14" spans="1:7" s="2" customFormat="1" ht="15.75" x14ac:dyDescent="0.25">
      <c r="A14" s="4"/>
      <c r="B14" s="3"/>
      <c r="C14" s="3"/>
      <c r="D14" s="3"/>
      <c r="E14" s="295" t="s">
        <v>346</v>
      </c>
      <c r="F14" s="296"/>
      <c r="G14" s="294">
        <f>F14/F16</f>
        <v>0</v>
      </c>
    </row>
    <row r="15" spans="1:7" s="2" customFormat="1" ht="16.5" thickBot="1" x14ac:dyDescent="0.3">
      <c r="A15" s="4"/>
      <c r="B15" s="3"/>
      <c r="C15" s="3"/>
      <c r="D15" s="3"/>
      <c r="E15" s="295" t="s">
        <v>344</v>
      </c>
      <c r="F15" s="297">
        <v>2</v>
      </c>
      <c r="G15" s="294">
        <f>F15/F16</f>
        <v>4.878048780487805E-2</v>
      </c>
    </row>
    <row r="16" spans="1:7" s="2" customFormat="1" ht="20.25" customHeight="1" thickBot="1" x14ac:dyDescent="0.3">
      <c r="A16" s="4"/>
      <c r="B16" s="3"/>
      <c r="C16" s="3"/>
      <c r="D16" s="3"/>
      <c r="E16" s="424" t="s">
        <v>17</v>
      </c>
      <c r="F16" s="298">
        <f>SUM(F13:F15)</f>
        <v>41</v>
      </c>
      <c r="G16" s="299"/>
    </row>
    <row r="17" spans="1:7" s="2" customFormat="1" ht="21" customHeight="1" thickBot="1" x14ac:dyDescent="0.3">
      <c r="A17" s="4"/>
      <c r="B17" s="3"/>
      <c r="C17" s="3"/>
      <c r="D17" s="3"/>
      <c r="E17" s="39"/>
      <c r="F17" s="39"/>
      <c r="G17" s="37"/>
    </row>
    <row r="18" spans="1:7" s="2" customFormat="1" ht="23.1" customHeight="1" thickBot="1" x14ac:dyDescent="0.3">
      <c r="A18" s="4"/>
      <c r="B18" s="3"/>
      <c r="C18" s="3"/>
      <c r="D18" s="3"/>
      <c r="E18" s="755" t="s">
        <v>20</v>
      </c>
      <c r="F18" s="756"/>
      <c r="G18" s="757"/>
    </row>
    <row r="19" spans="1:7" s="2" customFormat="1" ht="16.5" customHeight="1" thickBot="1" x14ac:dyDescent="0.3">
      <c r="A19" s="4"/>
      <c r="B19" s="3"/>
      <c r="C19" s="3"/>
      <c r="D19" s="3"/>
      <c r="E19" s="454" t="s">
        <v>3</v>
      </c>
      <c r="F19" s="455" t="s">
        <v>4</v>
      </c>
      <c r="G19" s="165" t="s">
        <v>213</v>
      </c>
    </row>
    <row r="20" spans="1:7" s="2" customFormat="1" ht="15.75" thickBot="1" x14ac:dyDescent="0.3">
      <c r="A20" s="4"/>
      <c r="B20" s="1"/>
      <c r="C20" s="1"/>
      <c r="D20" s="1"/>
      <c r="E20" s="428">
        <f>E7</f>
        <v>4844769960</v>
      </c>
      <c r="F20" s="428">
        <f>F7</f>
        <v>3000545960.8199997</v>
      </c>
      <c r="G20" s="70">
        <f>G7</f>
        <v>0.61933713790200262</v>
      </c>
    </row>
    <row r="21" spans="1:7" s="2" customFormat="1" ht="46.5" customHeight="1" x14ac:dyDescent="0.25">
      <c r="A21" s="4"/>
      <c r="B21" s="1"/>
      <c r="C21" s="1"/>
      <c r="D21" s="1"/>
      <c r="E21" s="3"/>
      <c r="F21" s="3"/>
    </row>
    <row r="22" spans="1:7" ht="17.100000000000001" customHeight="1" x14ac:dyDescent="0.25"/>
    <row r="24" spans="1:7" s="2" customFormat="1" x14ac:dyDescent="0.25">
      <c r="A24" s="1"/>
      <c r="B24" s="1"/>
      <c r="C24" s="1"/>
      <c r="D24" s="1"/>
      <c r="E24" s="3"/>
      <c r="F24" s="3"/>
    </row>
    <row r="25" spans="1:7" s="2" customFormat="1" x14ac:dyDescent="0.25">
      <c r="A25" s="1"/>
      <c r="B25" s="1"/>
      <c r="C25" s="1"/>
      <c r="D25" s="1"/>
      <c r="E25" s="3"/>
      <c r="F25" s="3"/>
    </row>
    <row r="26" spans="1:7" s="3" customFormat="1" x14ac:dyDescent="0.25">
      <c r="A26" s="1"/>
      <c r="B26" s="1"/>
      <c r="C26" s="1"/>
      <c r="D26" s="1"/>
      <c r="G26" s="2"/>
    </row>
    <row r="27" spans="1:7" s="3" customFormat="1" x14ac:dyDescent="0.25">
      <c r="A27" s="1"/>
      <c r="B27" s="1"/>
      <c r="C27" s="1"/>
      <c r="D27" s="1"/>
      <c r="G27" s="2"/>
    </row>
    <row r="28" spans="1:7" s="3" customFormat="1" x14ac:dyDescent="0.25">
      <c r="A28" s="1"/>
      <c r="B28" s="1"/>
      <c r="C28" s="1"/>
      <c r="D28" s="1"/>
      <c r="G28" s="2"/>
    </row>
    <row r="29" spans="1:7" s="3" customFormat="1" x14ac:dyDescent="0.25">
      <c r="A29" s="1"/>
      <c r="B29" s="1"/>
      <c r="C29" s="1"/>
      <c r="D29" s="1"/>
      <c r="G29" s="2"/>
    </row>
    <row r="30" spans="1:7" s="3" customFormat="1" x14ac:dyDescent="0.25">
      <c r="A30" s="1"/>
      <c r="B30" s="1"/>
      <c r="C30" s="1"/>
      <c r="D30" s="1"/>
      <c r="G30" s="2"/>
    </row>
    <row r="31" spans="1:7" s="3" customFormat="1" x14ac:dyDescent="0.25">
      <c r="A31" s="1"/>
      <c r="B31" s="1"/>
      <c r="C31" s="1"/>
      <c r="D31" s="1"/>
      <c r="G31" s="2"/>
    </row>
    <row r="32" spans="1:7" s="3" customFormat="1" x14ac:dyDescent="0.25">
      <c r="A32" s="1"/>
      <c r="B32" s="1"/>
      <c r="C32" s="1"/>
      <c r="D32" s="1"/>
      <c r="G32" s="2"/>
    </row>
    <row r="33" spans="1:7" s="3" customFormat="1" x14ac:dyDescent="0.25">
      <c r="A33" s="1"/>
      <c r="B33" s="1"/>
      <c r="C33" s="1"/>
      <c r="D33" s="1"/>
      <c r="G33" s="2"/>
    </row>
  </sheetData>
  <mergeCells count="3">
    <mergeCell ref="B1:G1"/>
    <mergeCell ref="E11:G11"/>
    <mergeCell ref="E18:G18"/>
  </mergeCells>
  <conditionalFormatting sqref="D3:D9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8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7:G9"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48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55"/>
  <sheetViews>
    <sheetView view="pageBreakPreview" zoomScale="80" zoomScaleNormal="80" zoomScaleSheetLayoutView="80" workbookViewId="0">
      <selection activeCell="H12" sqref="H12"/>
    </sheetView>
  </sheetViews>
  <sheetFormatPr baseColWidth="10" defaultColWidth="11.42578125" defaultRowHeight="15" x14ac:dyDescent="0.25"/>
  <cols>
    <col min="1" max="1" width="5.42578125" style="1" customWidth="1"/>
    <col min="2" max="2" width="60.5703125" style="9" customWidth="1"/>
    <col min="3" max="4" width="20.5703125" style="9" customWidth="1"/>
    <col min="5" max="5" width="28.28515625" style="3" customWidth="1"/>
    <col min="6" max="6" width="27.7109375" style="3" customWidth="1"/>
    <col min="7" max="7" width="23.85546875" style="2" customWidth="1"/>
    <col min="8" max="8" width="16.42578125" style="1" customWidth="1"/>
    <col min="9" max="9" width="25.140625" style="1" customWidth="1"/>
    <col min="10" max="10" width="17.140625" style="1" bestFit="1" customWidth="1"/>
    <col min="11" max="16384" width="11.42578125" style="1"/>
  </cols>
  <sheetData>
    <row r="1" spans="1:7" ht="15.75" thickBot="1" x14ac:dyDescent="0.3"/>
    <row r="2" spans="1:7" ht="69.75" customHeight="1" thickBot="1" x14ac:dyDescent="0.3">
      <c r="B2" s="758" t="s">
        <v>326</v>
      </c>
      <c r="C2" s="759"/>
      <c r="D2" s="759"/>
      <c r="E2" s="759"/>
      <c r="F2" s="759"/>
      <c r="G2" s="760"/>
    </row>
    <row r="3" spans="1:7" s="2" customFormat="1" ht="108.75" customHeight="1" thickBot="1" x14ac:dyDescent="0.3">
      <c r="B3" s="14" t="s">
        <v>1</v>
      </c>
      <c r="C3" s="170" t="s">
        <v>54</v>
      </c>
      <c r="D3" s="170" t="s">
        <v>62</v>
      </c>
      <c r="E3" s="171" t="s">
        <v>56</v>
      </c>
      <c r="F3" s="172" t="s">
        <v>57</v>
      </c>
      <c r="G3" s="173" t="s">
        <v>55</v>
      </c>
    </row>
    <row r="4" spans="1:7" s="8" customFormat="1" ht="36" customHeight="1" x14ac:dyDescent="0.25">
      <c r="A4" s="7">
        <v>1</v>
      </c>
      <c r="B4" s="483" t="s">
        <v>80</v>
      </c>
      <c r="C4" s="484">
        <v>1</v>
      </c>
      <c r="D4" s="485">
        <f>[6]CONSOLIDADO!N51</f>
        <v>0</v>
      </c>
      <c r="E4" s="717">
        <f>[6]CONSOLIDADO!O51</f>
        <v>0</v>
      </c>
      <c r="F4" s="718">
        <f>[6]CONSOLIDADO!P51</f>
        <v>0</v>
      </c>
      <c r="G4" s="486">
        <v>0</v>
      </c>
    </row>
    <row r="5" spans="1:7" s="8" customFormat="1" ht="41.25" customHeight="1" x14ac:dyDescent="0.25">
      <c r="A5" s="7">
        <v>2</v>
      </c>
      <c r="B5" s="479" t="s">
        <v>81</v>
      </c>
      <c r="C5" s="373">
        <v>1</v>
      </c>
      <c r="D5" s="374">
        <f>[6]CONSOLIDADO!N52</f>
        <v>0</v>
      </c>
      <c r="E5" s="719">
        <f>[6]CONSOLIDADO!O52</f>
        <v>123388574.37</v>
      </c>
      <c r="F5" s="720">
        <f>[6]CONSOLIDADO!P52</f>
        <v>0</v>
      </c>
      <c r="G5" s="394">
        <f t="shared" ref="G5:G40" si="0">F5/E5</f>
        <v>0</v>
      </c>
    </row>
    <row r="6" spans="1:7" s="8" customFormat="1" ht="24.95" customHeight="1" x14ac:dyDescent="0.25">
      <c r="A6" s="7">
        <v>3</v>
      </c>
      <c r="B6" s="480" t="s">
        <v>82</v>
      </c>
      <c r="C6" s="373">
        <v>1</v>
      </c>
      <c r="D6" s="374">
        <f>[6]CONSOLIDADO!N53</f>
        <v>1</v>
      </c>
      <c r="E6" s="717">
        <f>[6]CONSOLIDADO!O53</f>
        <v>0</v>
      </c>
      <c r="F6" s="718">
        <f>[6]CONSOLIDADO!P53</f>
        <v>0</v>
      </c>
      <c r="G6" s="394">
        <v>0</v>
      </c>
    </row>
    <row r="7" spans="1:7" s="8" customFormat="1" ht="32.25" customHeight="1" x14ac:dyDescent="0.25">
      <c r="A7" s="7">
        <v>4</v>
      </c>
      <c r="B7" s="480" t="s">
        <v>83</v>
      </c>
      <c r="C7" s="373">
        <v>4</v>
      </c>
      <c r="D7" s="374">
        <f>[6]CONSOLIDADO!N54</f>
        <v>1</v>
      </c>
      <c r="E7" s="719">
        <f>[6]CONSOLIDADO!O54</f>
        <v>140339002240</v>
      </c>
      <c r="F7" s="719">
        <f>[6]CONSOLIDADO!P54</f>
        <v>138666398052</v>
      </c>
      <c r="G7" s="394">
        <f t="shared" si="0"/>
        <v>0.98808168676345864</v>
      </c>
    </row>
    <row r="8" spans="1:7" s="8" customFormat="1" ht="24.95" customHeight="1" x14ac:dyDescent="0.25">
      <c r="A8" s="7">
        <v>5</v>
      </c>
      <c r="B8" s="479" t="s">
        <v>84</v>
      </c>
      <c r="C8" s="373">
        <v>1</v>
      </c>
      <c r="D8" s="374">
        <f>[6]CONSOLIDADO!N55</f>
        <v>0</v>
      </c>
      <c r="E8" s="719">
        <f>[6]CONSOLIDADO!O55</f>
        <v>1485</v>
      </c>
      <c r="F8" s="720">
        <f>[6]CONSOLIDADO!P55</f>
        <v>0</v>
      </c>
      <c r="G8" s="394">
        <f t="shared" si="0"/>
        <v>0</v>
      </c>
    </row>
    <row r="9" spans="1:7" s="8" customFormat="1" ht="30.75" customHeight="1" x14ac:dyDescent="0.25">
      <c r="A9" s="7">
        <v>6</v>
      </c>
      <c r="B9" s="480" t="s">
        <v>85</v>
      </c>
      <c r="C9" s="373">
        <v>1</v>
      </c>
      <c r="D9" s="374">
        <f>[6]CONSOLIDADO!N56</f>
        <v>0.84232954545454541</v>
      </c>
      <c r="E9" s="719">
        <f>[6]CONSOLIDADO!O56</f>
        <v>0</v>
      </c>
      <c r="F9" s="720">
        <f>[6]CONSOLIDADO!P56</f>
        <v>0</v>
      </c>
      <c r="G9" s="394">
        <v>0</v>
      </c>
    </row>
    <row r="10" spans="1:7" s="8" customFormat="1" ht="39" customHeight="1" x14ac:dyDescent="0.25">
      <c r="A10" s="7">
        <v>7</v>
      </c>
      <c r="B10" s="480" t="s">
        <v>86</v>
      </c>
      <c r="C10" s="373">
        <v>1</v>
      </c>
      <c r="D10" s="374">
        <f>[6]CONSOLIDADO!N57</f>
        <v>1</v>
      </c>
      <c r="E10" s="719">
        <f>[6]CONSOLIDADO!O57</f>
        <v>427000000</v>
      </c>
      <c r="F10" s="720">
        <f>[6]CONSOLIDADO!P57</f>
        <v>425412359</v>
      </c>
      <c r="G10" s="394">
        <f t="shared" si="0"/>
        <v>0.99628187119437939</v>
      </c>
    </row>
    <row r="11" spans="1:7" s="8" customFormat="1" ht="40.5" customHeight="1" x14ac:dyDescent="0.25">
      <c r="A11" s="7">
        <v>8</v>
      </c>
      <c r="B11" s="480" t="s">
        <v>87</v>
      </c>
      <c r="C11" s="373">
        <v>1</v>
      </c>
      <c r="D11" s="374">
        <f>[6]CONSOLIDADO!N58</f>
        <v>0.46124763705103972</v>
      </c>
      <c r="E11" s="719">
        <f>[6]CONSOLIDADO!O58</f>
        <v>203516543</v>
      </c>
      <c r="F11" s="720">
        <f>[6]CONSOLIDADO!P58</f>
        <v>157789732</v>
      </c>
      <c r="G11" s="394">
        <f t="shared" si="0"/>
        <v>0.77531649110215084</v>
      </c>
    </row>
    <row r="12" spans="1:7" s="8" customFormat="1" ht="49.5" customHeight="1" x14ac:dyDescent="0.25">
      <c r="A12" s="7">
        <v>9</v>
      </c>
      <c r="B12" s="480" t="s">
        <v>88</v>
      </c>
      <c r="C12" s="373">
        <v>1</v>
      </c>
      <c r="D12" s="374">
        <f>[6]CONSOLIDADO!N59</f>
        <v>1</v>
      </c>
      <c r="E12" s="719">
        <f>[6]CONSOLIDADO!O59</f>
        <v>663834963</v>
      </c>
      <c r="F12" s="720">
        <f>[6]CONSOLIDADO!P59</f>
        <v>0</v>
      </c>
      <c r="G12" s="394">
        <f t="shared" si="0"/>
        <v>0</v>
      </c>
    </row>
    <row r="13" spans="1:7" s="8" customFormat="1" ht="37.5" customHeight="1" x14ac:dyDescent="0.25">
      <c r="A13" s="7">
        <v>10</v>
      </c>
      <c r="B13" s="479" t="s">
        <v>89</v>
      </c>
      <c r="C13" s="373">
        <v>1</v>
      </c>
      <c r="D13" s="374">
        <f>[6]CONSOLIDADO!N60</f>
        <v>1</v>
      </c>
      <c r="E13" s="719">
        <f>[6]CONSOLIDADO!O60</f>
        <v>0</v>
      </c>
      <c r="F13" s="720">
        <f>[6]CONSOLIDADO!P60</f>
        <v>0</v>
      </c>
      <c r="G13" s="394">
        <v>0</v>
      </c>
    </row>
    <row r="14" spans="1:7" s="8" customFormat="1" ht="24.95" customHeight="1" x14ac:dyDescent="0.25">
      <c r="A14" s="7">
        <v>11</v>
      </c>
      <c r="B14" s="479" t="s">
        <v>90</v>
      </c>
      <c r="C14" s="373">
        <v>1</v>
      </c>
      <c r="D14" s="374">
        <f>[6]CONSOLIDADO!N61</f>
        <v>1</v>
      </c>
      <c r="E14" s="719">
        <f>[6]CONSOLIDADO!O61</f>
        <v>0</v>
      </c>
      <c r="F14" s="720">
        <f>[6]CONSOLIDADO!P61</f>
        <v>0</v>
      </c>
      <c r="G14" s="394">
        <v>0</v>
      </c>
    </row>
    <row r="15" spans="1:7" s="8" customFormat="1" ht="39" customHeight="1" x14ac:dyDescent="0.25">
      <c r="A15" s="7">
        <v>12</v>
      </c>
      <c r="B15" s="479" t="s">
        <v>91</v>
      </c>
      <c r="C15" s="373">
        <v>1</v>
      </c>
      <c r="D15" s="374">
        <f>[6]CONSOLIDADO!N62</f>
        <v>0.8</v>
      </c>
      <c r="E15" s="719">
        <f>[6]CONSOLIDADO!O62</f>
        <v>3073907860.77</v>
      </c>
      <c r="F15" s="720">
        <f>[6]CONSOLIDADO!P62</f>
        <v>80892262</v>
      </c>
      <c r="G15" s="394">
        <f t="shared" si="0"/>
        <v>2.6315773166908411E-2</v>
      </c>
    </row>
    <row r="16" spans="1:7" s="8" customFormat="1" ht="24.95" customHeight="1" x14ac:dyDescent="0.25">
      <c r="A16" s="7">
        <v>13</v>
      </c>
      <c r="B16" s="479" t="s">
        <v>92</v>
      </c>
      <c r="C16" s="373">
        <v>1</v>
      </c>
      <c r="D16" s="374">
        <f>[6]CONSOLIDADO!N63</f>
        <v>0.75</v>
      </c>
      <c r="E16" s="719">
        <f>[6]CONSOLIDADO!O63</f>
        <v>43215928</v>
      </c>
      <c r="F16" s="720">
        <f>[6]CONSOLIDADO!P63</f>
        <v>43215928</v>
      </c>
      <c r="G16" s="394">
        <f t="shared" si="0"/>
        <v>1</v>
      </c>
    </row>
    <row r="17" spans="1:7" s="8" customFormat="1" ht="24.95" customHeight="1" x14ac:dyDescent="0.25">
      <c r="A17" s="7">
        <v>14</v>
      </c>
      <c r="B17" s="479" t="s">
        <v>93</v>
      </c>
      <c r="C17" s="373">
        <v>1</v>
      </c>
      <c r="D17" s="374">
        <f>[6]CONSOLIDADO!N64</f>
        <v>0.96551724137931039</v>
      </c>
      <c r="E17" s="719">
        <f>[6]CONSOLIDADO!O64</f>
        <v>663735681</v>
      </c>
      <c r="F17" s="720">
        <f>[6]CONSOLIDADO!P64</f>
        <v>298559399</v>
      </c>
      <c r="G17" s="394">
        <f t="shared" si="0"/>
        <v>0.44981670798559947</v>
      </c>
    </row>
    <row r="18" spans="1:7" s="8" customFormat="1" ht="24.95" customHeight="1" x14ac:dyDescent="0.25">
      <c r="A18" s="7">
        <v>15</v>
      </c>
      <c r="B18" s="479" t="s">
        <v>94</v>
      </c>
      <c r="C18" s="373">
        <v>1</v>
      </c>
      <c r="D18" s="374">
        <f>[6]CONSOLIDADO!N65</f>
        <v>0.96551724137931039</v>
      </c>
      <c r="E18" s="719">
        <f>[6]CONSOLIDADO!O65</f>
        <v>0</v>
      </c>
      <c r="F18" s="720">
        <f>[6]CONSOLIDADO!P65</f>
        <v>0</v>
      </c>
      <c r="G18" s="394">
        <v>0</v>
      </c>
    </row>
    <row r="19" spans="1:7" s="8" customFormat="1" ht="39" customHeight="1" x14ac:dyDescent="0.25">
      <c r="A19" s="7">
        <v>16</v>
      </c>
      <c r="B19" s="479" t="s">
        <v>95</v>
      </c>
      <c r="C19" s="373">
        <v>1</v>
      </c>
      <c r="D19" s="374">
        <f>[6]CONSOLIDADO!N66</f>
        <v>0.96551724137931039</v>
      </c>
      <c r="E19" s="719">
        <f>[6]CONSOLIDADO!O66</f>
        <v>0</v>
      </c>
      <c r="F19" s="720">
        <f>[6]CONSOLIDADO!P66</f>
        <v>0</v>
      </c>
      <c r="G19" s="394">
        <v>0</v>
      </c>
    </row>
    <row r="20" spans="1:7" s="8" customFormat="1" ht="33" customHeight="1" x14ac:dyDescent="0.25">
      <c r="A20" s="7">
        <v>17</v>
      </c>
      <c r="B20" s="480" t="s">
        <v>96</v>
      </c>
      <c r="C20" s="373">
        <v>1</v>
      </c>
      <c r="D20" s="374">
        <f>[6]CONSOLIDADO!N67</f>
        <v>0.96551724137931039</v>
      </c>
      <c r="E20" s="719">
        <f>[6]CONSOLIDADO!O67</f>
        <v>62400000</v>
      </c>
      <c r="F20" s="720">
        <f>[6]CONSOLIDADO!P67</f>
        <v>0</v>
      </c>
      <c r="G20" s="394">
        <f t="shared" si="0"/>
        <v>0</v>
      </c>
    </row>
    <row r="21" spans="1:7" s="8" customFormat="1" ht="24.95" customHeight="1" x14ac:dyDescent="0.25">
      <c r="A21" s="7">
        <v>18</v>
      </c>
      <c r="B21" s="480" t="s">
        <v>97</v>
      </c>
      <c r="C21" s="373">
        <v>1</v>
      </c>
      <c r="D21" s="374">
        <f>[6]CONSOLIDADO!N68</f>
        <v>1</v>
      </c>
      <c r="E21" s="719">
        <f>[6]CONSOLIDADO!O68</f>
        <v>12243503268</v>
      </c>
      <c r="F21" s="720">
        <f>[6]CONSOLIDADO!P68</f>
        <v>11063228885.85</v>
      </c>
      <c r="G21" s="394">
        <f t="shared" si="0"/>
        <v>0.90359994551275191</v>
      </c>
    </row>
    <row r="22" spans="1:7" s="8" customFormat="1" ht="24.95" customHeight="1" x14ac:dyDescent="0.25">
      <c r="A22" s="7">
        <v>19</v>
      </c>
      <c r="B22" s="479" t="s">
        <v>98</v>
      </c>
      <c r="C22" s="373">
        <v>1</v>
      </c>
      <c r="D22" s="374">
        <f>[6]CONSOLIDADO!N69</f>
        <v>1</v>
      </c>
      <c r="E22" s="719">
        <f>[6]CONSOLIDADO!O69</f>
        <v>58960000</v>
      </c>
      <c r="F22" s="720">
        <f>[6]CONSOLIDADO!P69</f>
        <v>58280000</v>
      </c>
      <c r="G22" s="394">
        <f t="shared" si="0"/>
        <v>0.98846675712347354</v>
      </c>
    </row>
    <row r="23" spans="1:7" s="8" customFormat="1" ht="37.5" customHeight="1" x14ac:dyDescent="0.25">
      <c r="A23" s="7">
        <v>20</v>
      </c>
      <c r="B23" s="479" t="s">
        <v>99</v>
      </c>
      <c r="C23" s="373">
        <v>2</v>
      </c>
      <c r="D23" s="374">
        <f>[6]CONSOLIDADO!N70</f>
        <v>1</v>
      </c>
      <c r="E23" s="719">
        <f>[6]CONSOLIDADO!O70</f>
        <v>1285810200</v>
      </c>
      <c r="F23" s="720">
        <f>[6]CONSOLIDADO!P70</f>
        <v>1223163183</v>
      </c>
      <c r="G23" s="394">
        <f t="shared" si="0"/>
        <v>0.95127817698133055</v>
      </c>
    </row>
    <row r="24" spans="1:7" s="8" customFormat="1" ht="24.95" customHeight="1" x14ac:dyDescent="0.25">
      <c r="A24" s="7">
        <v>21</v>
      </c>
      <c r="B24" s="479" t="s">
        <v>100</v>
      </c>
      <c r="C24" s="373">
        <v>1</v>
      </c>
      <c r="D24" s="374">
        <f>[6]CONSOLIDADO!N71</f>
        <v>1</v>
      </c>
      <c r="E24" s="719">
        <f>[6]CONSOLIDADO!O71</f>
        <v>985840000</v>
      </c>
      <c r="F24" s="720">
        <f>[6]CONSOLIDADO!P71</f>
        <v>728230487</v>
      </c>
      <c r="G24" s="394">
        <f t="shared" si="0"/>
        <v>0.73869034224620633</v>
      </c>
    </row>
    <row r="25" spans="1:7" s="8" customFormat="1" ht="37.5" customHeight="1" x14ac:dyDescent="0.25">
      <c r="A25" s="7">
        <v>22</v>
      </c>
      <c r="B25" s="479" t="s">
        <v>101</v>
      </c>
      <c r="C25" s="373">
        <v>1</v>
      </c>
      <c r="D25" s="374">
        <f>[6]CONSOLIDADO!N72</f>
        <v>1</v>
      </c>
      <c r="E25" s="719">
        <f>[6]CONSOLIDADO!O72</f>
        <v>4114684625.1799998</v>
      </c>
      <c r="F25" s="720">
        <f>[6]CONSOLIDADO!P72</f>
        <v>3961968477</v>
      </c>
      <c r="G25" s="394">
        <f t="shared" si="0"/>
        <v>0.9628850903309949</v>
      </c>
    </row>
    <row r="26" spans="1:7" s="8" customFormat="1" ht="24.95" customHeight="1" x14ac:dyDescent="0.25">
      <c r="A26" s="7">
        <v>23</v>
      </c>
      <c r="B26" s="479" t="s">
        <v>102</v>
      </c>
      <c r="C26" s="373">
        <v>1</v>
      </c>
      <c r="D26" s="374">
        <f>[6]CONSOLIDADO!N73</f>
        <v>0.96551724137931039</v>
      </c>
      <c r="E26" s="719">
        <f>[6]CONSOLIDADO!O73</f>
        <v>399142112</v>
      </c>
      <c r="F26" s="720">
        <f>[6]CONSOLIDADO!P73</f>
        <v>90000000</v>
      </c>
      <c r="G26" s="394">
        <f t="shared" si="0"/>
        <v>0.22548359918484373</v>
      </c>
    </row>
    <row r="27" spans="1:7" s="8" customFormat="1" ht="24.95" customHeight="1" x14ac:dyDescent="0.25">
      <c r="A27" s="7">
        <v>24</v>
      </c>
      <c r="B27" s="479" t="s">
        <v>103</v>
      </c>
      <c r="C27" s="373">
        <v>1</v>
      </c>
      <c r="D27" s="374">
        <f>[6]CONSOLIDADO!N74</f>
        <v>0.86956521739130432</v>
      </c>
      <c r="E27" s="719">
        <f>[6]CONSOLIDADO!O74</f>
        <v>57000000</v>
      </c>
      <c r="F27" s="720">
        <f>[6]CONSOLIDADO!P74</f>
        <v>57000000</v>
      </c>
      <c r="G27" s="394">
        <f t="shared" si="0"/>
        <v>1</v>
      </c>
    </row>
    <row r="28" spans="1:7" s="8" customFormat="1" ht="37.5" customHeight="1" x14ac:dyDescent="0.25">
      <c r="A28" s="7">
        <v>25</v>
      </c>
      <c r="B28" s="479" t="s">
        <v>104</v>
      </c>
      <c r="C28" s="373">
        <v>1</v>
      </c>
      <c r="D28" s="374">
        <f>[6]CONSOLIDADO!N75</f>
        <v>1</v>
      </c>
      <c r="E28" s="719">
        <f>[6]CONSOLIDADO!O75</f>
        <v>1000000000</v>
      </c>
      <c r="F28" s="720">
        <f>[6]CONSOLIDADO!P75</f>
        <v>999420316.25</v>
      </c>
      <c r="G28" s="394">
        <f t="shared" si="0"/>
        <v>0.99942031625000005</v>
      </c>
    </row>
    <row r="29" spans="1:7" s="8" customFormat="1" ht="32.25" customHeight="1" x14ac:dyDescent="0.25">
      <c r="A29" s="7">
        <v>26</v>
      </c>
      <c r="B29" s="479" t="s">
        <v>105</v>
      </c>
      <c r="C29" s="373">
        <v>1</v>
      </c>
      <c r="D29" s="374">
        <f>[6]CONSOLIDADO!N76</f>
        <v>1</v>
      </c>
      <c r="E29" s="719">
        <f>[6]CONSOLIDADO!O76</f>
        <v>78125405.400000006</v>
      </c>
      <c r="F29" s="720">
        <f>[6]CONSOLIDADO!P76</f>
        <v>43507392.609999999</v>
      </c>
      <c r="G29" s="394">
        <f t="shared" si="0"/>
        <v>0.55689173562995675</v>
      </c>
    </row>
    <row r="30" spans="1:7" s="8" customFormat="1" ht="24.95" customHeight="1" x14ac:dyDescent="0.25">
      <c r="A30" s="7">
        <v>27</v>
      </c>
      <c r="B30" s="479" t="s">
        <v>106</v>
      </c>
      <c r="C30" s="373">
        <v>1</v>
      </c>
      <c r="D30" s="374">
        <f>[6]CONSOLIDADO!N77</f>
        <v>1</v>
      </c>
      <c r="E30" s="719">
        <f>[6]CONSOLIDADO!O77</f>
        <v>0</v>
      </c>
      <c r="F30" s="720">
        <f>[6]CONSOLIDADO!P77</f>
        <v>0</v>
      </c>
      <c r="G30" s="394">
        <v>0</v>
      </c>
    </row>
    <row r="31" spans="1:7" s="8" customFormat="1" ht="24.95" customHeight="1" x14ac:dyDescent="0.25">
      <c r="A31" s="7">
        <v>28</v>
      </c>
      <c r="B31" s="480" t="s">
        <v>107</v>
      </c>
      <c r="C31" s="373">
        <v>1</v>
      </c>
      <c r="D31" s="374">
        <f>[6]CONSOLIDADO!N78</f>
        <v>0.96551724137931039</v>
      </c>
      <c r="E31" s="719">
        <f>[6]CONSOLIDADO!O78</f>
        <v>0</v>
      </c>
      <c r="F31" s="720">
        <f>[6]CONSOLIDADO!P78</f>
        <v>0</v>
      </c>
      <c r="G31" s="394">
        <v>0</v>
      </c>
    </row>
    <row r="32" spans="1:7" s="8" customFormat="1" ht="24.95" customHeight="1" x14ac:dyDescent="0.25">
      <c r="A32" s="7">
        <v>29</v>
      </c>
      <c r="B32" s="479" t="s">
        <v>108</v>
      </c>
      <c r="C32" s="373">
        <v>1</v>
      </c>
      <c r="D32" s="374">
        <f>[6]CONSOLIDADO!N79</f>
        <v>0.96551724137931039</v>
      </c>
      <c r="E32" s="719">
        <f>[6]CONSOLIDADO!O79</f>
        <v>0</v>
      </c>
      <c r="F32" s="720">
        <f>[6]CONSOLIDADO!P79</f>
        <v>0</v>
      </c>
      <c r="G32" s="394">
        <v>0</v>
      </c>
    </row>
    <row r="33" spans="1:10" s="8" customFormat="1" ht="31.5" customHeight="1" x14ac:dyDescent="0.25">
      <c r="A33" s="7">
        <v>30</v>
      </c>
      <c r="B33" s="480" t="s">
        <v>109</v>
      </c>
      <c r="C33" s="373">
        <v>1</v>
      </c>
      <c r="D33" s="374">
        <f>[6]CONSOLIDADO!N80</f>
        <v>0.77319587628865982</v>
      </c>
      <c r="E33" s="719">
        <f>[6]CONSOLIDADO!O80</f>
        <v>0</v>
      </c>
      <c r="F33" s="720">
        <f>[6]CONSOLIDADO!P80</f>
        <v>0</v>
      </c>
      <c r="G33" s="394">
        <v>0</v>
      </c>
    </row>
    <row r="34" spans="1:10" s="8" customFormat="1" ht="24.95" customHeight="1" x14ac:dyDescent="0.25">
      <c r="A34" s="7">
        <v>31</v>
      </c>
      <c r="B34" s="480" t="s">
        <v>110</v>
      </c>
      <c r="C34" s="373">
        <v>1</v>
      </c>
      <c r="D34" s="374">
        <f>[6]CONSOLIDADO!N81</f>
        <v>1</v>
      </c>
      <c r="E34" s="719">
        <f>[6]CONSOLIDADO!O81</f>
        <v>0</v>
      </c>
      <c r="F34" s="720">
        <f>[6]CONSOLIDADO!P81</f>
        <v>0</v>
      </c>
      <c r="G34" s="394">
        <v>0</v>
      </c>
    </row>
    <row r="35" spans="1:10" s="8" customFormat="1" ht="24.95" customHeight="1" x14ac:dyDescent="0.25">
      <c r="A35" s="7">
        <v>32</v>
      </c>
      <c r="B35" s="480" t="s">
        <v>111</v>
      </c>
      <c r="C35" s="373">
        <v>1</v>
      </c>
      <c r="D35" s="374">
        <f>[6]CONSOLIDADO!N82</f>
        <v>0.75</v>
      </c>
      <c r="E35" s="719">
        <f>[6]CONSOLIDADO!O82</f>
        <v>0</v>
      </c>
      <c r="F35" s="720">
        <f>[6]CONSOLIDADO!P82</f>
        <v>0</v>
      </c>
      <c r="G35" s="394">
        <v>0</v>
      </c>
    </row>
    <row r="36" spans="1:10" s="8" customFormat="1" ht="24.95" customHeight="1" x14ac:dyDescent="0.25">
      <c r="A36" s="7">
        <v>33</v>
      </c>
      <c r="B36" s="480" t="s">
        <v>112</v>
      </c>
      <c r="C36" s="373">
        <v>1</v>
      </c>
      <c r="D36" s="374">
        <f>[6]CONSOLIDADO!N83</f>
        <v>0.8</v>
      </c>
      <c r="E36" s="719">
        <f>[6]CONSOLIDADO!O83</f>
        <v>0</v>
      </c>
      <c r="F36" s="720">
        <f>[6]CONSOLIDADO!P83</f>
        <v>0</v>
      </c>
      <c r="G36" s="394">
        <v>0</v>
      </c>
    </row>
    <row r="37" spans="1:10" s="8" customFormat="1" ht="32.25" customHeight="1" x14ac:dyDescent="0.25">
      <c r="A37" s="7">
        <v>34</v>
      </c>
      <c r="B37" s="479" t="s">
        <v>113</v>
      </c>
      <c r="C37" s="373">
        <v>1</v>
      </c>
      <c r="D37" s="374">
        <f>[6]CONSOLIDADO!N84</f>
        <v>1</v>
      </c>
      <c r="E37" s="719">
        <f>[6]CONSOLIDADO!O84</f>
        <v>32892900</v>
      </c>
      <c r="F37" s="720">
        <f>[6]CONSOLIDADO!P84</f>
        <v>29105010</v>
      </c>
      <c r="G37" s="394">
        <f t="shared" si="0"/>
        <v>0.88484171356128527</v>
      </c>
    </row>
    <row r="38" spans="1:10" s="8" customFormat="1" ht="32.25" customHeight="1" x14ac:dyDescent="0.25">
      <c r="A38" s="7">
        <v>35</v>
      </c>
      <c r="B38" s="480" t="s">
        <v>114</v>
      </c>
      <c r="C38" s="373">
        <v>1</v>
      </c>
      <c r="D38" s="374">
        <f>[6]CONSOLIDADO!N85</f>
        <v>0.96551724137931039</v>
      </c>
      <c r="E38" s="719">
        <f>[6]CONSOLIDADO!O85</f>
        <v>546054446</v>
      </c>
      <c r="F38" s="720">
        <f>[6]CONSOLIDADO!P85</f>
        <v>215281117.81999999</v>
      </c>
      <c r="G38" s="394">
        <f t="shared" si="0"/>
        <v>0.39424844792857888</v>
      </c>
    </row>
    <row r="39" spans="1:10" s="8" customFormat="1" ht="18" x14ac:dyDescent="0.25">
      <c r="A39" s="7">
        <v>36</v>
      </c>
      <c r="B39" s="480" t="s">
        <v>115</v>
      </c>
      <c r="C39" s="373">
        <v>1</v>
      </c>
      <c r="D39" s="374">
        <f>[6]CONSOLIDADO!N86</f>
        <v>1</v>
      </c>
      <c r="E39" s="719">
        <f>[6]CONSOLIDADO!O86</f>
        <v>0</v>
      </c>
      <c r="F39" s="720">
        <f>[6]CONSOLIDADO!P86</f>
        <v>0</v>
      </c>
      <c r="G39" s="394">
        <v>0</v>
      </c>
    </row>
    <row r="40" spans="1:10" s="8" customFormat="1" ht="30.75" customHeight="1" thickBot="1" x14ac:dyDescent="0.3">
      <c r="A40" s="7">
        <v>37</v>
      </c>
      <c r="B40" s="481" t="s">
        <v>116</v>
      </c>
      <c r="C40" s="378">
        <v>1</v>
      </c>
      <c r="D40" s="379">
        <f>[6]CONSOLIDADO!N87</f>
        <v>1</v>
      </c>
      <c r="E40" s="719">
        <f>[6]CONSOLIDADO!O87</f>
        <v>2524152201</v>
      </c>
      <c r="F40" s="720">
        <f>[6]CONSOLIDADO!P87</f>
        <v>2350905855.4499998</v>
      </c>
      <c r="G40" s="476">
        <f t="shared" si="0"/>
        <v>0.93136454074308006</v>
      </c>
    </row>
    <row r="41" spans="1:10" s="8" customFormat="1" ht="24.95" customHeight="1" thickBot="1" x14ac:dyDescent="0.3">
      <c r="A41" s="7"/>
      <c r="B41" s="369" t="s">
        <v>53</v>
      </c>
      <c r="C41" s="382">
        <v>41</v>
      </c>
      <c r="D41" s="477">
        <f>SUM(D4:D40)/37</f>
        <v>0.85866151911405486</v>
      </c>
      <c r="E41" s="482">
        <f>SUM(E4:E40)</f>
        <v>168926168432.71997</v>
      </c>
      <c r="F41" s="482">
        <f>SUM(F4:F40)</f>
        <v>160492358456.98001</v>
      </c>
      <c r="G41" s="478">
        <f>F41/E41</f>
        <v>0.95007398762436868</v>
      </c>
      <c r="I41" s="63"/>
      <c r="J41" s="63"/>
    </row>
    <row r="42" spans="1:10" ht="24.75" hidden="1" customHeight="1" thickBot="1" x14ac:dyDescent="0.3">
      <c r="D42" s="83">
        <v>1</v>
      </c>
      <c r="G42" s="84">
        <v>1</v>
      </c>
    </row>
    <row r="43" spans="1:10" ht="24" hidden="1" customHeight="1" x14ac:dyDescent="0.25">
      <c r="D43" s="109">
        <v>0</v>
      </c>
      <c r="G43" s="109">
        <v>0</v>
      </c>
    </row>
    <row r="44" spans="1:10" ht="6.75" customHeight="1" thickBot="1" x14ac:dyDescent="0.3"/>
    <row r="45" spans="1:10" ht="15.75" thickBot="1" x14ac:dyDescent="0.3">
      <c r="E45" s="755" t="s">
        <v>16</v>
      </c>
      <c r="F45" s="756"/>
      <c r="G45" s="757"/>
    </row>
    <row r="46" spans="1:10" ht="15.75" thickBot="1" x14ac:dyDescent="0.3">
      <c r="E46" s="282" t="s">
        <v>13</v>
      </c>
      <c r="F46" s="280" t="s">
        <v>14</v>
      </c>
      <c r="G46" s="281" t="s">
        <v>15</v>
      </c>
    </row>
    <row r="47" spans="1:10" x14ac:dyDescent="0.25">
      <c r="E47" s="148" t="s">
        <v>345</v>
      </c>
      <c r="F47" s="149">
        <v>30</v>
      </c>
      <c r="G47" s="163">
        <f>F47/F50</f>
        <v>0.73170731707317072</v>
      </c>
    </row>
    <row r="48" spans="1:10" x14ac:dyDescent="0.25">
      <c r="E48" s="150" t="s">
        <v>346</v>
      </c>
      <c r="F48" s="151">
        <v>5</v>
      </c>
      <c r="G48" s="163">
        <f>F48/F50</f>
        <v>0.12195121951219512</v>
      </c>
    </row>
    <row r="49" spans="5:7" ht="15.75" thickBot="1" x14ac:dyDescent="0.3">
      <c r="E49" s="152" t="s">
        <v>344</v>
      </c>
      <c r="F49" s="153">
        <v>6</v>
      </c>
      <c r="G49" s="163">
        <f>F49/F50</f>
        <v>0.14634146341463414</v>
      </c>
    </row>
    <row r="50" spans="5:7" ht="15.75" thickBot="1" x14ac:dyDescent="0.3">
      <c r="E50" s="426" t="s">
        <v>17</v>
      </c>
      <c r="F50" s="154">
        <f>SUM(F47:F49)</f>
        <v>41</v>
      </c>
      <c r="G50" s="164"/>
    </row>
    <row r="51" spans="5:7" ht="8.25" customHeight="1" thickBot="1" x14ac:dyDescent="0.3">
      <c r="E51" s="452"/>
      <c r="F51" s="452"/>
      <c r="G51" s="453"/>
    </row>
    <row r="52" spans="5:7" ht="15.75" thickBot="1" x14ac:dyDescent="0.3">
      <c r="E52" s="755" t="s">
        <v>21</v>
      </c>
      <c r="F52" s="756"/>
      <c r="G52" s="757"/>
    </row>
    <row r="53" spans="5:7" ht="15.75" thickBot="1" x14ac:dyDescent="0.3">
      <c r="E53" s="454" t="s">
        <v>3</v>
      </c>
      <c r="F53" s="455" t="s">
        <v>4</v>
      </c>
      <c r="G53" s="165" t="s">
        <v>213</v>
      </c>
    </row>
    <row r="54" spans="5:7" ht="15.75" thickBot="1" x14ac:dyDescent="0.3">
      <c r="E54" s="428">
        <f>E41</f>
        <v>168926168432.71997</v>
      </c>
      <c r="F54" s="456">
        <f>F41</f>
        <v>160492358456.98001</v>
      </c>
      <c r="G54" s="70">
        <f>G41</f>
        <v>0.95007398762436868</v>
      </c>
    </row>
    <row r="55" spans="5:7" x14ac:dyDescent="0.25">
      <c r="E55" s="16"/>
      <c r="F55" s="16"/>
      <c r="G55" s="15"/>
    </row>
  </sheetData>
  <mergeCells count="3">
    <mergeCell ref="E45:G45"/>
    <mergeCell ref="E52:G52"/>
    <mergeCell ref="B2:G2"/>
  </mergeCells>
  <conditionalFormatting sqref="D41:D43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43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1:D43"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4:D43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55118110236220474" bottom="1.3385826771653544" header="0.31496062992125984" footer="0.31496062992125984"/>
  <pageSetup paperSize="5" scale="4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4"/>
  <sheetViews>
    <sheetView view="pageBreakPreview" topLeftCell="A10" zoomScale="60" zoomScaleNormal="80" workbookViewId="0">
      <selection activeCell="F28" sqref="F28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3" width="20.5703125" style="1" customWidth="1"/>
    <col min="4" max="4" width="21.5703125" style="1" customWidth="1"/>
    <col min="5" max="5" width="27.28515625" style="3" customWidth="1"/>
    <col min="6" max="6" width="28" style="3" bestFit="1" customWidth="1"/>
    <col min="7" max="7" width="24.42578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58" t="s">
        <v>327</v>
      </c>
      <c r="C1" s="759"/>
      <c r="D1" s="759"/>
      <c r="E1" s="759"/>
      <c r="F1" s="759"/>
      <c r="G1" s="760"/>
    </row>
    <row r="2" spans="1:7" s="2" customFormat="1" ht="92.25" customHeight="1" thickBot="1" x14ac:dyDescent="0.3">
      <c r="B2" s="79" t="s">
        <v>1</v>
      </c>
      <c r="C2" s="144" t="s">
        <v>54</v>
      </c>
      <c r="D2" s="144" t="s">
        <v>62</v>
      </c>
      <c r="E2" s="145" t="s">
        <v>56</v>
      </c>
      <c r="F2" s="146" t="s">
        <v>57</v>
      </c>
      <c r="G2" s="147" t="s">
        <v>55</v>
      </c>
    </row>
    <row r="3" spans="1:7" ht="36.75" customHeight="1" thickBot="1" x14ac:dyDescent="0.3">
      <c r="A3" s="1">
        <v>1</v>
      </c>
      <c r="B3" s="457" t="s">
        <v>297</v>
      </c>
      <c r="C3" s="487">
        <f>[7]CONS0LIDADO!G119</f>
        <v>2</v>
      </c>
      <c r="D3" s="488">
        <f>[8]CONSOLIDADO!N5</f>
        <v>0.65</v>
      </c>
      <c r="E3" s="489">
        <f>[8]CONSOLIDADO!O5</f>
        <v>830185827</v>
      </c>
      <c r="F3" s="489">
        <f>[8]CONSOLIDADO!P5</f>
        <v>804495312</v>
      </c>
      <c r="G3" s="490">
        <f>F3/E3</f>
        <v>0.96905450061363185</v>
      </c>
    </row>
    <row r="4" spans="1:7" ht="51" customHeight="1" thickBot="1" x14ac:dyDescent="0.3">
      <c r="A4" s="1">
        <v>2</v>
      </c>
      <c r="B4" s="458" t="s">
        <v>298</v>
      </c>
      <c r="C4" s="491">
        <f>[7]CONS0LIDADO!G120</f>
        <v>1</v>
      </c>
      <c r="D4" s="392">
        <f>[8]CONSOLIDADO!N6</f>
        <v>0.9</v>
      </c>
      <c r="E4" s="492">
        <f>[8]CONSOLIDADO!O6</f>
        <v>339814173</v>
      </c>
      <c r="F4" s="395">
        <f>[8]CONSOLIDADO!P6</f>
        <v>319000028</v>
      </c>
      <c r="G4" s="493">
        <f>F4/E4</f>
        <v>0.9387484494356273</v>
      </c>
    </row>
    <row r="5" spans="1:7" ht="35.1" customHeight="1" thickBot="1" x14ac:dyDescent="0.3">
      <c r="A5" s="1">
        <v>3</v>
      </c>
      <c r="B5" s="458" t="s">
        <v>299</v>
      </c>
      <c r="C5" s="494">
        <f>[7]CONS0LIDADO!G121</f>
        <v>1</v>
      </c>
      <c r="D5" s="495">
        <f>[8]CONSOLIDADO!N7</f>
        <v>0</v>
      </c>
      <c r="E5" s="395">
        <f>[8]CONSOLIDADO!O7</f>
        <v>0</v>
      </c>
      <c r="F5" s="395">
        <f>[8]CONSOLIDADO!P7</f>
        <v>0</v>
      </c>
      <c r="G5" s="493">
        <v>0</v>
      </c>
    </row>
    <row r="6" spans="1:7" ht="35.1" customHeight="1" thickBot="1" x14ac:dyDescent="0.3">
      <c r="A6" s="1">
        <v>4</v>
      </c>
      <c r="B6" s="458" t="s">
        <v>300</v>
      </c>
      <c r="C6" s="494">
        <f>[7]CONS0LIDADO!G122</f>
        <v>6</v>
      </c>
      <c r="D6" s="496">
        <f>[8]CONSOLIDADO!N8</f>
        <v>0.625</v>
      </c>
      <c r="E6" s="395">
        <f>[8]CONSOLIDADO!O8</f>
        <v>19056095890</v>
      </c>
      <c r="F6" s="395">
        <f>[8]CONSOLIDADO!P8</f>
        <v>15621765051</v>
      </c>
      <c r="G6" s="493">
        <f>F6/E6</f>
        <v>0.81977783598359089</v>
      </c>
    </row>
    <row r="7" spans="1:7" ht="51.75" customHeight="1" thickBot="1" x14ac:dyDescent="0.3">
      <c r="A7" s="1">
        <v>5</v>
      </c>
      <c r="B7" s="458" t="s">
        <v>301</v>
      </c>
      <c r="C7" s="494">
        <f>[7]CONS0LIDADO!G123</f>
        <v>33</v>
      </c>
      <c r="D7" s="392">
        <f>[8]CONSOLIDADO!N9</f>
        <v>0.79549999999999998</v>
      </c>
      <c r="E7" s="395">
        <f>[8]CONSOLIDADO!O9</f>
        <v>24049307998</v>
      </c>
      <c r="F7" s="395">
        <f>[8]CONSOLIDADO!P9</f>
        <v>2957337421</v>
      </c>
      <c r="G7" s="493">
        <f>F7/E7</f>
        <v>0.1229697511980777</v>
      </c>
    </row>
    <row r="8" spans="1:7" ht="43.5" customHeight="1" thickBot="1" x14ac:dyDescent="0.3">
      <c r="A8" s="1">
        <v>6</v>
      </c>
      <c r="B8" s="458" t="s">
        <v>302</v>
      </c>
      <c r="C8" s="494">
        <f>[7]CONS0LIDADO!G124</f>
        <v>1</v>
      </c>
      <c r="D8" s="496">
        <f>[8]CONSOLIDADO!N10</f>
        <v>0</v>
      </c>
      <c r="E8" s="395">
        <f>[8]CONSOLIDADO!O10</f>
        <v>0</v>
      </c>
      <c r="F8" s="395">
        <f>[8]CONSOLIDADO!P10</f>
        <v>0</v>
      </c>
      <c r="G8" s="493">
        <v>0</v>
      </c>
    </row>
    <row r="9" spans="1:7" ht="53.25" customHeight="1" thickBot="1" x14ac:dyDescent="0.3">
      <c r="A9" s="1">
        <v>7</v>
      </c>
      <c r="B9" s="458" t="s">
        <v>303</v>
      </c>
      <c r="C9" s="494">
        <f>[7]CONS0LIDADO!G125</f>
        <v>2</v>
      </c>
      <c r="D9" s="497">
        <f>[8]CONSOLIDADO!N11</f>
        <v>0</v>
      </c>
      <c r="E9" s="395">
        <f>[8]CONSOLIDADO!O11</f>
        <v>0</v>
      </c>
      <c r="F9" s="395">
        <f>[8]CONSOLIDADO!P11</f>
        <v>0</v>
      </c>
      <c r="G9" s="493">
        <v>0</v>
      </c>
    </row>
    <row r="10" spans="1:7" ht="35.1" customHeight="1" thickBot="1" x14ac:dyDescent="0.3">
      <c r="A10" s="1">
        <v>8</v>
      </c>
      <c r="B10" s="458" t="s">
        <v>304</v>
      </c>
      <c r="C10" s="494">
        <f>[7]CONS0LIDADO!G126</f>
        <v>7</v>
      </c>
      <c r="D10" s="496">
        <f>[8]CONSOLIDADO!N12</f>
        <v>0.55710000000000004</v>
      </c>
      <c r="E10" s="395">
        <f>[8]CONSOLIDADO!O12</f>
        <v>6709704360</v>
      </c>
      <c r="F10" s="395">
        <f>[8]CONSOLIDADO!P12</f>
        <v>3186679636</v>
      </c>
      <c r="G10" s="493">
        <f>F10/E10</f>
        <v>0.47493592340631829</v>
      </c>
    </row>
    <row r="11" spans="1:7" ht="49.5" customHeight="1" thickBot="1" x14ac:dyDescent="0.3">
      <c r="A11" s="1">
        <v>9</v>
      </c>
      <c r="B11" s="458" t="s">
        <v>305</v>
      </c>
      <c r="C11" s="494">
        <f>[7]CONS0LIDADO!G127</f>
        <v>1</v>
      </c>
      <c r="D11" s="497">
        <f>[8]CONSOLIDADO!N13</f>
        <v>0.04</v>
      </c>
      <c r="E11" s="395">
        <f>[8]CONSOLIDADO!O13</f>
        <v>0</v>
      </c>
      <c r="F11" s="395">
        <f>[8]CONSOLIDADO!P13</f>
        <v>0</v>
      </c>
      <c r="G11" s="493">
        <v>0</v>
      </c>
    </row>
    <row r="12" spans="1:7" ht="69" customHeight="1" thickBot="1" x14ac:dyDescent="0.3">
      <c r="A12" s="1">
        <v>10</v>
      </c>
      <c r="B12" s="458" t="s">
        <v>306</v>
      </c>
      <c r="C12" s="494">
        <f>[7]CONS0LIDADO!G128</f>
        <v>18</v>
      </c>
      <c r="D12" s="496">
        <f>[8]CONSOLIDADO!N14</f>
        <v>0.65169999999999995</v>
      </c>
      <c r="E12" s="393">
        <f>[8]CONSOLIDADO!O14</f>
        <v>1975993717</v>
      </c>
      <c r="F12" s="393">
        <f>[8]CONSOLIDADO!P14</f>
        <v>1582549066</v>
      </c>
      <c r="G12" s="493">
        <f>F12/E12</f>
        <v>0.80088770140558097</v>
      </c>
    </row>
    <row r="13" spans="1:7" ht="35.1" customHeight="1" thickBot="1" x14ac:dyDescent="0.3">
      <c r="A13" s="1">
        <v>11</v>
      </c>
      <c r="B13" s="458" t="s">
        <v>307</v>
      </c>
      <c r="C13" s="494">
        <f>[7]CONS0LIDADO!G129</f>
        <v>1</v>
      </c>
      <c r="D13" s="496">
        <f>[8]CONSOLIDADO!N15</f>
        <v>0</v>
      </c>
      <c r="E13" s="395">
        <f>[8]CONSOLIDADO!O15</f>
        <v>0</v>
      </c>
      <c r="F13" s="395">
        <f>[8]CONSOLIDADO!P15</f>
        <v>0</v>
      </c>
      <c r="G13" s="493">
        <v>0</v>
      </c>
    </row>
    <row r="14" spans="1:7" ht="35.1" customHeight="1" thickBot="1" x14ac:dyDescent="0.3">
      <c r="A14" s="1">
        <v>12</v>
      </c>
      <c r="B14" s="458" t="s">
        <v>308</v>
      </c>
      <c r="C14" s="494">
        <f>[7]CONS0LIDADO!G130</f>
        <v>4</v>
      </c>
      <c r="D14" s="498">
        <f>[8]CONSOLIDADO!N16</f>
        <v>0.26700000000000002</v>
      </c>
      <c r="E14" s="393">
        <f>[8]CONSOLIDADO!O16</f>
        <v>150000000</v>
      </c>
      <c r="F14" s="393">
        <f>[8]CONSOLIDADO!P16</f>
        <v>29400000</v>
      </c>
      <c r="G14" s="499">
        <f>F14/E14</f>
        <v>0.19600000000000001</v>
      </c>
    </row>
    <row r="15" spans="1:7" ht="35.1" customHeight="1" thickBot="1" x14ac:dyDescent="0.3">
      <c r="A15" s="1">
        <v>13</v>
      </c>
      <c r="B15" s="458" t="s">
        <v>309</v>
      </c>
      <c r="C15" s="494">
        <f>[7]CONS0LIDADO!G131</f>
        <v>1</v>
      </c>
      <c r="D15" s="496">
        <f>[8]CONSOLIDADO!N17</f>
        <v>0</v>
      </c>
      <c r="E15" s="395">
        <f>[8]CONSOLIDADO!O17</f>
        <v>0</v>
      </c>
      <c r="F15" s="395">
        <f>[8]CONSOLIDADO!P17</f>
        <v>0</v>
      </c>
      <c r="G15" s="493">
        <v>0</v>
      </c>
    </row>
    <row r="16" spans="1:7" ht="35.1" customHeight="1" thickBot="1" x14ac:dyDescent="0.3">
      <c r="A16" s="1">
        <v>14</v>
      </c>
      <c r="B16" s="458" t="s">
        <v>310</v>
      </c>
      <c r="C16" s="494">
        <f>[7]CONS0LIDADO!G132</f>
        <v>1</v>
      </c>
      <c r="D16" s="496">
        <f>[8]CONSOLIDADO!N18</f>
        <v>1</v>
      </c>
      <c r="E16" s="393">
        <f>[8]CONSOLIDADO!O18</f>
        <v>57000000</v>
      </c>
      <c r="F16" s="393">
        <f>[8]CONSOLIDADO!P18</f>
        <v>55900420</v>
      </c>
      <c r="G16" s="493">
        <f t="shared" ref="G16:G19" si="0">F16/E16</f>
        <v>0.9807091228070175</v>
      </c>
    </row>
    <row r="17" spans="1:7" ht="35.1" customHeight="1" thickBot="1" x14ac:dyDescent="0.3">
      <c r="A17" s="1">
        <v>15</v>
      </c>
      <c r="B17" s="458" t="s">
        <v>311</v>
      </c>
      <c r="C17" s="494">
        <f>[7]CONS0LIDADO!G133</f>
        <v>1</v>
      </c>
      <c r="D17" s="496">
        <f>[8]CONSOLIDADO!N19</f>
        <v>0.5</v>
      </c>
      <c r="E17" s="393">
        <f>[8]CONSOLIDADO!O19</f>
        <v>603459277</v>
      </c>
      <c r="F17" s="393">
        <f>[8]CONSOLIDADO!P19</f>
        <v>84916673</v>
      </c>
      <c r="G17" s="493">
        <f t="shared" si="0"/>
        <v>0.14071649278829465</v>
      </c>
    </row>
    <row r="18" spans="1:7" ht="35.1" customHeight="1" thickBot="1" x14ac:dyDescent="0.3">
      <c r="A18" s="1">
        <v>16</v>
      </c>
      <c r="B18" s="458" t="s">
        <v>312</v>
      </c>
      <c r="C18" s="491">
        <f>[7]CONS0LIDADO!G134</f>
        <v>3</v>
      </c>
      <c r="D18" s="496">
        <f>[8]CONSOLIDADO!N20</f>
        <v>0.5</v>
      </c>
      <c r="E18" s="395">
        <f>[8]CONSOLIDADO!O20</f>
        <v>100000000</v>
      </c>
      <c r="F18" s="395">
        <f>[8]CONSOLIDADO!P20</f>
        <v>90782496</v>
      </c>
      <c r="G18" s="493">
        <f t="shared" si="0"/>
        <v>0.90782496000000001</v>
      </c>
    </row>
    <row r="19" spans="1:7" ht="35.1" customHeight="1" thickBot="1" x14ac:dyDescent="0.3">
      <c r="A19" s="1">
        <v>17</v>
      </c>
      <c r="B19" s="458" t="s">
        <v>313</v>
      </c>
      <c r="C19" s="494">
        <f>[7]CONS0LIDADO!G135</f>
        <v>1</v>
      </c>
      <c r="D19" s="496">
        <f>[8]CONSOLIDADO!N21</f>
        <v>1</v>
      </c>
      <c r="E19" s="395">
        <f>[8]CONSOLIDADO!O21</f>
        <v>72349326</v>
      </c>
      <c r="F19" s="395">
        <f>[8]CONSOLIDADO!P21</f>
        <v>71750821</v>
      </c>
      <c r="G19" s="493">
        <f t="shared" si="0"/>
        <v>0.9917275663355869</v>
      </c>
    </row>
    <row r="20" spans="1:7" ht="65.25" customHeight="1" thickBot="1" x14ac:dyDescent="0.3">
      <c r="A20" s="1">
        <v>18</v>
      </c>
      <c r="B20" s="458" t="s">
        <v>314</v>
      </c>
      <c r="C20" s="500">
        <f>[7]CONS0LIDADO!G136</f>
        <v>1</v>
      </c>
      <c r="D20" s="501">
        <f>[8]CONSOLIDADO!N22</f>
        <v>0.41670000000000001</v>
      </c>
      <c r="E20" s="399">
        <f>[8]CONSOLIDADO!O22</f>
        <v>5401225878</v>
      </c>
      <c r="F20" s="399">
        <f>[8]CONSOLIDADO!P22</f>
        <v>3690101190</v>
      </c>
      <c r="G20" s="493">
        <f>F20/E20</f>
        <v>0.68319697664012413</v>
      </c>
    </row>
    <row r="21" spans="1:7" ht="24.75" customHeight="1" thickBot="1" x14ac:dyDescent="0.3">
      <c r="B21" s="369" t="s">
        <v>0</v>
      </c>
      <c r="C21" s="502">
        <f>SUM(C3:C20)</f>
        <v>85</v>
      </c>
      <c r="D21" s="503">
        <f>SUM(D3:D20)/18</f>
        <v>0.43905555555555559</v>
      </c>
      <c r="E21" s="504">
        <f>SUM(E3:E20)</f>
        <v>59345136446</v>
      </c>
      <c r="F21" s="504">
        <f>SUM(F3:F20)</f>
        <v>28494678114</v>
      </c>
      <c r="G21" s="505">
        <f>F21/E21</f>
        <v>0.48015186787763475</v>
      </c>
    </row>
    <row r="22" spans="1:7" ht="24.75" hidden="1" customHeight="1" x14ac:dyDescent="0.25">
      <c r="B22" s="98"/>
      <c r="C22" s="99"/>
      <c r="D22" s="107">
        <v>1</v>
      </c>
      <c r="E22" s="110"/>
      <c r="F22" s="110"/>
      <c r="G22" s="107">
        <v>1</v>
      </c>
    </row>
    <row r="23" spans="1:7" hidden="1" x14ac:dyDescent="0.25">
      <c r="D23" s="261">
        <v>0</v>
      </c>
      <c r="G23" s="262">
        <v>0</v>
      </c>
    </row>
    <row r="24" spans="1:7" ht="15.75" thickBot="1" x14ac:dyDescent="0.3"/>
    <row r="25" spans="1:7" ht="15.75" thickBot="1" x14ac:dyDescent="0.3">
      <c r="E25" s="755" t="s">
        <v>16</v>
      </c>
      <c r="F25" s="756"/>
      <c r="G25" s="757"/>
    </row>
    <row r="26" spans="1:7" ht="15.75" thickBot="1" x14ac:dyDescent="0.3">
      <c r="E26" s="282" t="s">
        <v>13</v>
      </c>
      <c r="F26" s="280" t="s">
        <v>14</v>
      </c>
      <c r="G26" s="281" t="s">
        <v>15</v>
      </c>
    </row>
    <row r="27" spans="1:7" x14ac:dyDescent="0.25">
      <c r="E27" s="148" t="s">
        <v>345</v>
      </c>
      <c r="F27" s="149">
        <v>44</v>
      </c>
      <c r="G27" s="163">
        <f>F27/F30</f>
        <v>0.51764705882352946</v>
      </c>
    </row>
    <row r="28" spans="1:7" x14ac:dyDescent="0.25">
      <c r="E28" s="150" t="s">
        <v>346</v>
      </c>
      <c r="F28" s="151">
        <v>3</v>
      </c>
      <c r="G28" s="163">
        <f>F28/F30</f>
        <v>3.5294117647058823E-2</v>
      </c>
    </row>
    <row r="29" spans="1:7" ht="15.75" thickBot="1" x14ac:dyDescent="0.3">
      <c r="E29" s="152" t="s">
        <v>344</v>
      </c>
      <c r="F29" s="153">
        <v>38</v>
      </c>
      <c r="G29" s="163">
        <f>F29/F30</f>
        <v>0.44705882352941179</v>
      </c>
    </row>
    <row r="30" spans="1:7" ht="15.75" thickBot="1" x14ac:dyDescent="0.3">
      <c r="E30" s="426" t="s">
        <v>17</v>
      </c>
      <c r="F30" s="154">
        <f>SUM(F27:F29)</f>
        <v>85</v>
      </c>
      <c r="G30" s="164"/>
    </row>
    <row r="31" spans="1:7" ht="15.75" thickBot="1" x14ac:dyDescent="0.3">
      <c r="E31" s="452"/>
      <c r="F31" s="452"/>
      <c r="G31" s="453"/>
    </row>
    <row r="32" spans="1:7" ht="15.75" thickBot="1" x14ac:dyDescent="0.3">
      <c r="E32" s="755" t="s">
        <v>32</v>
      </c>
      <c r="F32" s="756"/>
      <c r="G32" s="757"/>
    </row>
    <row r="33" spans="5:7" ht="15.75" thickBot="1" x14ac:dyDescent="0.3">
      <c r="E33" s="454" t="s">
        <v>3</v>
      </c>
      <c r="F33" s="455" t="s">
        <v>4</v>
      </c>
      <c r="G33" s="165" t="s">
        <v>213</v>
      </c>
    </row>
    <row r="34" spans="5:7" ht="15.75" thickBot="1" x14ac:dyDescent="0.3">
      <c r="E34" s="428">
        <f>E21</f>
        <v>59345136446</v>
      </c>
      <c r="F34" s="456">
        <f>F21</f>
        <v>28494678114</v>
      </c>
      <c r="G34" s="70">
        <f>F34/E34</f>
        <v>0.48015186787763475</v>
      </c>
    </row>
  </sheetData>
  <mergeCells count="3">
    <mergeCell ref="B1:G1"/>
    <mergeCell ref="E25:G25"/>
    <mergeCell ref="E32:G32"/>
  </mergeCells>
  <conditionalFormatting sqref="D3:D23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2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3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ile" val="50"/>
        <cfvo type="max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1"/>
  <sheetViews>
    <sheetView view="pageBreakPreview" zoomScale="75" zoomScaleNormal="80" zoomScaleSheetLayoutView="75" workbookViewId="0">
      <selection activeCell="G5" sqref="G5"/>
    </sheetView>
  </sheetViews>
  <sheetFormatPr baseColWidth="10" defaultColWidth="11.42578125" defaultRowHeight="15" x14ac:dyDescent="0.25"/>
  <cols>
    <col min="1" max="1" width="3" style="1" bestFit="1" customWidth="1"/>
    <col min="2" max="2" width="53.42578125" style="1" customWidth="1"/>
    <col min="3" max="4" width="20.5703125" style="1" customWidth="1"/>
    <col min="5" max="6" width="26.28515625" style="3" customWidth="1"/>
    <col min="7" max="7" width="27.285156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58" t="s">
        <v>328</v>
      </c>
      <c r="C1" s="759"/>
      <c r="D1" s="759"/>
      <c r="E1" s="759"/>
      <c r="F1" s="759"/>
      <c r="G1" s="760"/>
    </row>
    <row r="2" spans="1:7" s="2" customFormat="1" ht="94.5" customHeight="1" thickBot="1" x14ac:dyDescent="0.3">
      <c r="B2" s="14" t="s">
        <v>1</v>
      </c>
      <c r="C2" s="170" t="s">
        <v>54</v>
      </c>
      <c r="D2" s="170" t="s">
        <v>62</v>
      </c>
      <c r="E2" s="171" t="s">
        <v>56</v>
      </c>
      <c r="F2" s="172" t="s">
        <v>57</v>
      </c>
      <c r="G2" s="173" t="s">
        <v>55</v>
      </c>
    </row>
    <row r="3" spans="1:7" s="2" customFormat="1" ht="75.75" customHeight="1" x14ac:dyDescent="0.25">
      <c r="A3" s="5">
        <v>1</v>
      </c>
      <c r="B3" s="370" t="s">
        <v>117</v>
      </c>
      <c r="C3" s="721">
        <f>[9]CONSOLIDADO!L5</f>
        <v>7</v>
      </c>
      <c r="D3" s="374">
        <f>[9]CONSOLIDADO!M5</f>
        <v>0.98099999999999998</v>
      </c>
      <c r="E3" s="509">
        <f>[9]CONSOLIDADO!N5</f>
        <v>7056895432</v>
      </c>
      <c r="F3" s="509">
        <f>[9]CONSOLIDADO!O5</f>
        <v>3668865570.8800001</v>
      </c>
      <c r="G3" s="371">
        <f>F3/E3</f>
        <v>0.51989796451329928</v>
      </c>
    </row>
    <row r="4" spans="1:7" s="2" customFormat="1" ht="36" customHeight="1" x14ac:dyDescent="0.25">
      <c r="A4" s="5">
        <v>2</v>
      </c>
      <c r="B4" s="444" t="s">
        <v>118</v>
      </c>
      <c r="C4" s="722">
        <f>[9]CONSOLIDADO!L6</f>
        <v>2</v>
      </c>
      <c r="D4" s="374">
        <f>[9]CONSOLIDADO!M6</f>
        <v>1</v>
      </c>
      <c r="E4" s="510">
        <f>[9]CONSOLIDADO!N6</f>
        <v>650000000</v>
      </c>
      <c r="F4" s="511">
        <f>[9]CONSOLIDADO!O6</f>
        <v>650000000</v>
      </c>
      <c r="G4" s="376">
        <f>F4/E4</f>
        <v>1</v>
      </c>
    </row>
    <row r="5" spans="1:7" ht="32.25" customHeight="1" x14ac:dyDescent="0.25">
      <c r="A5" s="69">
        <v>3</v>
      </c>
      <c r="B5" s="512" t="s">
        <v>119</v>
      </c>
      <c r="C5" s="722">
        <f>[9]CONSOLIDADO!L7</f>
        <v>1</v>
      </c>
      <c r="D5" s="374">
        <f>[9]CONSOLIDADO!M7</f>
        <v>0.3</v>
      </c>
      <c r="E5" s="513">
        <f>[9]CONSOLIDADO!N7</f>
        <v>286395503</v>
      </c>
      <c r="F5" s="513">
        <f>[9]CONSOLIDADO!O7</f>
        <v>0</v>
      </c>
      <c r="G5" s="376">
        <f>F5/E5</f>
        <v>0</v>
      </c>
    </row>
    <row r="6" spans="1:7" ht="42.75" customHeight="1" thickBot="1" x14ac:dyDescent="0.3">
      <c r="A6" s="5">
        <v>4</v>
      </c>
      <c r="B6" s="514" t="s">
        <v>120</v>
      </c>
      <c r="C6" s="723">
        <f>[9]CONSOLIDADO!L8</f>
        <v>3</v>
      </c>
      <c r="D6" s="374">
        <f>[9]CONSOLIDADO!M8</f>
        <v>1</v>
      </c>
      <c r="E6" s="511">
        <f>[9]CONSOLIDADO!N8</f>
        <v>3076347596</v>
      </c>
      <c r="F6" s="511">
        <f>[9]CONSOLIDADO!O8</f>
        <v>2930565617</v>
      </c>
      <c r="G6" s="515">
        <f>F6/E6</f>
        <v>0.95261199378459316</v>
      </c>
    </row>
    <row r="7" spans="1:7" ht="26.25" customHeight="1" thickBot="1" x14ac:dyDescent="0.3">
      <c r="A7" s="4"/>
      <c r="B7" s="471" t="s">
        <v>0</v>
      </c>
      <c r="C7" s="516">
        <f>SUM(C3:C6)</f>
        <v>13</v>
      </c>
      <c r="D7" s="517">
        <f>SUM(D3:D6)/4</f>
        <v>0.82024999999999992</v>
      </c>
      <c r="E7" s="518">
        <f>SUM(E3:E6)</f>
        <v>11069638531</v>
      </c>
      <c r="F7" s="519">
        <f>SUM(F3:F6)</f>
        <v>7249431187.8800001</v>
      </c>
      <c r="G7" s="520">
        <f>F7/E7</f>
        <v>0.65489321693552238</v>
      </c>
    </row>
    <row r="8" spans="1:7" ht="16.5" hidden="1" customHeight="1" thickBot="1" x14ac:dyDescent="0.3">
      <c r="B8" s="15"/>
      <c r="C8" s="15"/>
      <c r="D8" s="180">
        <v>1</v>
      </c>
      <c r="E8" s="180"/>
      <c r="F8" s="180"/>
      <c r="G8" s="180">
        <v>1</v>
      </c>
    </row>
    <row r="9" spans="1:7" ht="12.75" hidden="1" customHeight="1" x14ac:dyDescent="0.25">
      <c r="B9" s="181"/>
      <c r="C9" s="181"/>
      <c r="D9" s="264">
        <v>0</v>
      </c>
      <c r="E9" s="16"/>
      <c r="F9" s="16"/>
      <c r="G9" s="263">
        <v>0</v>
      </c>
    </row>
    <row r="10" spans="1:7" ht="12.75" customHeight="1" thickBot="1" x14ac:dyDescent="0.3">
      <c r="B10" s="181"/>
      <c r="C10" s="181"/>
      <c r="D10" s="264"/>
      <c r="E10" s="16"/>
      <c r="F10" s="16"/>
      <c r="G10" s="263"/>
    </row>
    <row r="11" spans="1:7" s="2" customFormat="1" ht="15.75" thickBot="1" x14ac:dyDescent="0.3">
      <c r="A11" s="1"/>
      <c r="B11" s="6"/>
      <c r="C11" s="6"/>
      <c r="D11" s="6"/>
      <c r="E11" s="755" t="s">
        <v>16</v>
      </c>
      <c r="F11" s="756"/>
      <c r="G11" s="757"/>
    </row>
    <row r="12" spans="1:7" s="2" customFormat="1" ht="15.75" thickBot="1" x14ac:dyDescent="0.3">
      <c r="A12" s="1"/>
      <c r="B12" s="6"/>
      <c r="C12" s="6"/>
      <c r="D12" s="6"/>
      <c r="E12" s="282" t="s">
        <v>13</v>
      </c>
      <c r="F12" s="280" t="s">
        <v>14</v>
      </c>
      <c r="G12" s="281" t="s">
        <v>15</v>
      </c>
    </row>
    <row r="13" spans="1:7" s="2" customFormat="1" x14ac:dyDescent="0.25">
      <c r="A13" s="1"/>
      <c r="B13" s="6"/>
      <c r="C13" s="6"/>
      <c r="D13" s="6"/>
      <c r="E13" s="148" t="s">
        <v>345</v>
      </c>
      <c r="F13" s="149">
        <v>12</v>
      </c>
      <c r="G13" s="163">
        <f>F13/F16</f>
        <v>0.92307692307692313</v>
      </c>
    </row>
    <row r="14" spans="1:7" s="3" customFormat="1" x14ac:dyDescent="0.25">
      <c r="A14" s="1"/>
      <c r="B14" s="6"/>
      <c r="C14" s="6"/>
      <c r="D14" s="6"/>
      <c r="E14" s="150" t="s">
        <v>346</v>
      </c>
      <c r="F14" s="151">
        <v>0</v>
      </c>
      <c r="G14" s="163">
        <f>F14/F16</f>
        <v>0</v>
      </c>
    </row>
    <row r="15" spans="1:7" s="3" customFormat="1" ht="15.75" thickBot="1" x14ac:dyDescent="0.3">
      <c r="A15" s="1"/>
      <c r="B15" s="6"/>
      <c r="C15" s="6"/>
      <c r="D15" s="6"/>
      <c r="E15" s="152" t="s">
        <v>344</v>
      </c>
      <c r="F15" s="153">
        <v>1</v>
      </c>
      <c r="G15" s="163">
        <f>F15/F16</f>
        <v>7.6923076923076927E-2</v>
      </c>
    </row>
    <row r="16" spans="1:7" s="3" customFormat="1" ht="15.75" thickBot="1" x14ac:dyDescent="0.3">
      <c r="A16" s="1"/>
      <c r="B16" s="6"/>
      <c r="C16" s="6"/>
      <c r="D16" s="6"/>
      <c r="E16" s="426" t="s">
        <v>17</v>
      </c>
      <c r="F16" s="154">
        <f>SUM(F13:F15)</f>
        <v>13</v>
      </c>
      <c r="G16" s="164"/>
    </row>
    <row r="17" spans="1:7" s="3" customFormat="1" ht="15.75" thickBot="1" x14ac:dyDescent="0.3">
      <c r="A17" s="1"/>
      <c r="B17" s="6"/>
      <c r="C17" s="6"/>
      <c r="D17" s="6"/>
      <c r="E17" s="452"/>
      <c r="F17" s="452"/>
      <c r="G17" s="453"/>
    </row>
    <row r="18" spans="1:7" s="3" customFormat="1" ht="15.75" thickBot="1" x14ac:dyDescent="0.3">
      <c r="A18" s="1"/>
      <c r="B18" s="6"/>
      <c r="C18" s="6"/>
      <c r="D18" s="6"/>
      <c r="E18" s="755" t="s">
        <v>22</v>
      </c>
      <c r="F18" s="756"/>
      <c r="G18" s="757"/>
    </row>
    <row r="19" spans="1:7" s="3" customFormat="1" ht="15.75" thickBot="1" x14ac:dyDescent="0.3">
      <c r="A19" s="1"/>
      <c r="B19" s="6"/>
      <c r="C19" s="6"/>
      <c r="D19" s="6"/>
      <c r="E19" s="454" t="s">
        <v>3</v>
      </c>
      <c r="F19" s="455" t="s">
        <v>4</v>
      </c>
      <c r="G19" s="165" t="s">
        <v>213</v>
      </c>
    </row>
    <row r="20" spans="1:7" s="3" customFormat="1" ht="15.75" thickBot="1" x14ac:dyDescent="0.3">
      <c r="A20" s="1"/>
      <c r="B20" s="6"/>
      <c r="C20" s="6"/>
      <c r="D20" s="6"/>
      <c r="E20" s="428">
        <f>E7</f>
        <v>11069638531</v>
      </c>
      <c r="F20" s="456">
        <f>F7</f>
        <v>7249431187.8800001</v>
      </c>
      <c r="G20" s="70">
        <f>G7</f>
        <v>0.65489321693552238</v>
      </c>
    </row>
    <row r="21" spans="1:7" s="3" customFormat="1" x14ac:dyDescent="0.25">
      <c r="A21" s="1"/>
      <c r="B21" s="1"/>
      <c r="C21" s="1"/>
      <c r="D21" s="1"/>
      <c r="G21" s="2"/>
    </row>
  </sheetData>
  <mergeCells count="3">
    <mergeCell ref="B1:G1"/>
    <mergeCell ref="E11:G11"/>
    <mergeCell ref="E18:G18"/>
  </mergeCells>
  <conditionalFormatting sqref="D7:D8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7:D10"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7:D10"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3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5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5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36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3"/>
  <sheetViews>
    <sheetView view="pageBreakPreview" topLeftCell="B1" zoomScale="75" zoomScaleNormal="80" zoomScaleSheetLayoutView="75" workbookViewId="0">
      <selection activeCell="D18" sqref="D18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5" customWidth="1"/>
    <col min="3" max="4" width="20.5703125" style="15" customWidth="1"/>
    <col min="5" max="5" width="29.5703125" style="16" customWidth="1"/>
    <col min="6" max="6" width="26" style="16" customWidth="1"/>
    <col min="7" max="7" width="20.57031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69.75" customHeight="1" thickBot="1" x14ac:dyDescent="0.25">
      <c r="B1" s="758" t="s">
        <v>329</v>
      </c>
      <c r="C1" s="759"/>
      <c r="D1" s="759"/>
      <c r="E1" s="759"/>
      <c r="F1" s="759"/>
      <c r="G1" s="760"/>
    </row>
    <row r="2" spans="1:7" ht="77.25" thickBot="1" x14ac:dyDescent="0.25">
      <c r="B2" s="79" t="s">
        <v>1</v>
      </c>
      <c r="C2" s="144" t="s">
        <v>54</v>
      </c>
      <c r="D2" s="144" t="s">
        <v>62</v>
      </c>
      <c r="E2" s="145" t="s">
        <v>56</v>
      </c>
      <c r="F2" s="146" t="s">
        <v>57</v>
      </c>
      <c r="G2" s="147" t="s">
        <v>55</v>
      </c>
    </row>
    <row r="3" spans="1:7" ht="24.75" customHeight="1" thickBot="1" x14ac:dyDescent="0.25">
      <c r="A3" s="17">
        <v>1</v>
      </c>
      <c r="B3" s="370" t="s">
        <v>121</v>
      </c>
      <c r="C3" s="387">
        <v>4</v>
      </c>
      <c r="D3" s="388">
        <f>[10]CONSOLIDADO!C23</f>
        <v>0.79449999999999998</v>
      </c>
      <c r="E3" s="521">
        <f>[10]CONSOLIDADO!D23</f>
        <v>617289450</v>
      </c>
      <c r="F3" s="521">
        <f>[10]CONSOLIDADO!E23</f>
        <v>551143908</v>
      </c>
      <c r="G3" s="522">
        <f t="shared" ref="G3:G8" si="0">F3/E3</f>
        <v>0.89284517660232166</v>
      </c>
    </row>
    <row r="4" spans="1:7" ht="24.75" customHeight="1" thickBot="1" x14ac:dyDescent="0.25">
      <c r="A4" s="17">
        <v>2</v>
      </c>
      <c r="B4" s="372" t="s">
        <v>122</v>
      </c>
      <c r="C4" s="391">
        <v>2</v>
      </c>
      <c r="D4" s="392">
        <f>[10]CONSOLIDADO!C24</f>
        <v>0.4</v>
      </c>
      <c r="E4" s="523">
        <f>[10]CONSOLIDADO!D24</f>
        <v>130000000</v>
      </c>
      <c r="F4" s="523">
        <f>[10]CONSOLIDADO!E24</f>
        <v>1200000</v>
      </c>
      <c r="G4" s="522">
        <f t="shared" si="0"/>
        <v>9.2307692307692316E-3</v>
      </c>
    </row>
    <row r="5" spans="1:7" ht="33.75" customHeight="1" thickBot="1" x14ac:dyDescent="0.25">
      <c r="A5" s="17">
        <v>3</v>
      </c>
      <c r="B5" s="372" t="s">
        <v>123</v>
      </c>
      <c r="C5" s="391">
        <v>4</v>
      </c>
      <c r="D5" s="392">
        <f>[10]CONSOLIDADO!C25</f>
        <v>0.9</v>
      </c>
      <c r="E5" s="523">
        <f>[10]CONSOLIDADO!D25</f>
        <v>1830000000</v>
      </c>
      <c r="F5" s="523">
        <f>[10]CONSOLIDADO!E25</f>
        <v>730197519</v>
      </c>
      <c r="G5" s="522">
        <f t="shared" si="0"/>
        <v>0.39901503770491803</v>
      </c>
    </row>
    <row r="6" spans="1:7" ht="36" customHeight="1" thickBot="1" x14ac:dyDescent="0.25">
      <c r="A6" s="17">
        <v>4</v>
      </c>
      <c r="B6" s="437" t="s">
        <v>124</v>
      </c>
      <c r="C6" s="391">
        <v>1</v>
      </c>
      <c r="D6" s="392">
        <f>[10]CONSOLIDADO!C26</f>
        <v>0.3</v>
      </c>
      <c r="E6" s="523">
        <f>[10]CONSOLIDADO!D26</f>
        <v>10000000</v>
      </c>
      <c r="F6" s="523">
        <f>[10]CONSOLIDADO!E26</f>
        <v>600000</v>
      </c>
      <c r="G6" s="522">
        <f t="shared" si="0"/>
        <v>0.06</v>
      </c>
    </row>
    <row r="7" spans="1:7" ht="27.95" customHeight="1" thickBot="1" x14ac:dyDescent="0.25">
      <c r="A7" s="17">
        <v>5</v>
      </c>
      <c r="B7" s="445" t="s">
        <v>125</v>
      </c>
      <c r="C7" s="397">
        <v>1</v>
      </c>
      <c r="D7" s="398">
        <f>[10]CONSOLIDADO!C27</f>
        <v>0.5</v>
      </c>
      <c r="E7" s="524">
        <f>[10]CONSOLIDADO!D27</f>
        <v>20000000</v>
      </c>
      <c r="F7" s="524">
        <f>[10]CONSOLIDADO!E27</f>
        <v>0</v>
      </c>
      <c r="G7" s="522">
        <f t="shared" si="0"/>
        <v>0</v>
      </c>
    </row>
    <row r="8" spans="1:7" ht="17.100000000000001" customHeight="1" thickBot="1" x14ac:dyDescent="0.3">
      <c r="B8" s="471" t="s">
        <v>0</v>
      </c>
      <c r="C8" s="516">
        <f>SUM(C3:C7)</f>
        <v>12</v>
      </c>
      <c r="D8" s="517">
        <f>SUM(D3:D7)/5</f>
        <v>0.57889999999999997</v>
      </c>
      <c r="E8" s="525">
        <f>SUM(E3:E7)</f>
        <v>2607289450</v>
      </c>
      <c r="F8" s="525">
        <f>SUM(F3:F7)</f>
        <v>1283141427</v>
      </c>
      <c r="G8" s="526">
        <f t="shared" si="0"/>
        <v>0.49213616347812861</v>
      </c>
    </row>
    <row r="9" spans="1:7" hidden="1" x14ac:dyDescent="0.2">
      <c r="B9" s="231"/>
      <c r="C9" s="250"/>
      <c r="D9" s="233">
        <v>1</v>
      </c>
      <c r="E9" s="251"/>
      <c r="F9" s="251"/>
      <c r="G9" s="27">
        <v>1</v>
      </c>
    </row>
    <row r="10" spans="1:7" hidden="1" x14ac:dyDescent="0.2">
      <c r="D10" s="249">
        <v>0</v>
      </c>
      <c r="G10" s="249">
        <v>0</v>
      </c>
    </row>
    <row r="11" spans="1:7" ht="13.5" thickBot="1" x14ac:dyDescent="0.25"/>
    <row r="12" spans="1:7" ht="15.75" thickBot="1" x14ac:dyDescent="0.25">
      <c r="E12" s="755" t="s">
        <v>16</v>
      </c>
      <c r="F12" s="756"/>
      <c r="G12" s="757"/>
    </row>
    <row r="13" spans="1:7" ht="15.75" thickBot="1" x14ac:dyDescent="0.25">
      <c r="E13" s="282" t="s">
        <v>13</v>
      </c>
      <c r="F13" s="280" t="s">
        <v>14</v>
      </c>
      <c r="G13" s="281" t="s">
        <v>15</v>
      </c>
    </row>
    <row r="14" spans="1:7" ht="15" x14ac:dyDescent="0.2">
      <c r="E14" s="148" t="s">
        <v>345</v>
      </c>
      <c r="F14" s="527">
        <v>4</v>
      </c>
      <c r="G14" s="163">
        <f>F14/F17</f>
        <v>0.33333333333333331</v>
      </c>
    </row>
    <row r="15" spans="1:7" ht="14.25" x14ac:dyDescent="0.2">
      <c r="E15" s="150" t="s">
        <v>346</v>
      </c>
      <c r="F15" s="528">
        <v>1</v>
      </c>
      <c r="G15" s="163">
        <f>F15/F17</f>
        <v>8.3333333333333329E-2</v>
      </c>
    </row>
    <row r="16" spans="1:7" s="16" customFormat="1" ht="15.75" thickBot="1" x14ac:dyDescent="0.25">
      <c r="A16" s="15"/>
      <c r="E16" s="152" t="s">
        <v>344</v>
      </c>
      <c r="F16" s="529">
        <v>7</v>
      </c>
      <c r="G16" s="163">
        <f>F16/F17</f>
        <v>0.58333333333333337</v>
      </c>
    </row>
    <row r="17" spans="1:7" s="16" customFormat="1" ht="15.75" thickBot="1" x14ac:dyDescent="0.3">
      <c r="A17" s="15"/>
      <c r="E17" s="426" t="s">
        <v>17</v>
      </c>
      <c r="F17" s="154">
        <f>SUM(F14:F16)</f>
        <v>12</v>
      </c>
      <c r="G17" s="164"/>
    </row>
    <row r="18" spans="1:7" s="16" customFormat="1" ht="15" thickBot="1" x14ac:dyDescent="0.25">
      <c r="A18" s="15"/>
      <c r="E18" s="452"/>
      <c r="F18" s="452"/>
      <c r="G18" s="453"/>
    </row>
    <row r="19" spans="1:7" s="16" customFormat="1" ht="15.75" thickBot="1" x14ac:dyDescent="0.25">
      <c r="A19" s="15"/>
      <c r="E19" s="755" t="s">
        <v>23</v>
      </c>
      <c r="F19" s="756"/>
      <c r="G19" s="757"/>
    </row>
    <row r="20" spans="1:7" s="16" customFormat="1" ht="15.75" thickBot="1" x14ac:dyDescent="0.25">
      <c r="A20" s="15"/>
      <c r="E20" s="454" t="s">
        <v>3</v>
      </c>
      <c r="F20" s="455" t="s">
        <v>4</v>
      </c>
      <c r="G20" s="165" t="s">
        <v>213</v>
      </c>
    </row>
    <row r="21" spans="1:7" s="16" customFormat="1" ht="15" thickBot="1" x14ac:dyDescent="0.25">
      <c r="A21" s="15"/>
      <c r="E21" s="428">
        <f>E8</f>
        <v>2607289450</v>
      </c>
      <c r="F21" s="456">
        <f>F8</f>
        <v>1283141427</v>
      </c>
      <c r="G21" s="70">
        <f>G8</f>
        <v>0.49213616347812861</v>
      </c>
    </row>
    <row r="22" spans="1:7" s="16" customFormat="1" x14ac:dyDescent="0.2">
      <c r="A22" s="15"/>
      <c r="G22" s="15"/>
    </row>
    <row r="23" spans="1:7" s="16" customFormat="1" x14ac:dyDescent="0.2">
      <c r="A23" s="15"/>
      <c r="G23" s="15"/>
    </row>
  </sheetData>
  <mergeCells count="3">
    <mergeCell ref="B1:G1"/>
    <mergeCell ref="E12:G12"/>
    <mergeCell ref="E19:G19"/>
  </mergeCells>
  <conditionalFormatting sqref="D3:D9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6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25"/>
  <sheetViews>
    <sheetView view="pageBreakPreview" zoomScale="60" zoomScaleNormal="82" workbookViewId="0">
      <selection activeCell="C32" sqref="C32"/>
    </sheetView>
  </sheetViews>
  <sheetFormatPr baseColWidth="10" defaultColWidth="11.42578125" defaultRowHeight="15" x14ac:dyDescent="0.25"/>
  <cols>
    <col min="1" max="1" width="3" style="1" bestFit="1" customWidth="1"/>
    <col min="2" max="2" width="57.85546875" style="1" customWidth="1"/>
    <col min="3" max="4" width="20.5703125" style="1" customWidth="1"/>
    <col min="5" max="6" width="30.7109375" style="3" customWidth="1"/>
    <col min="7" max="7" width="24.5703125" style="2" customWidth="1"/>
    <col min="8" max="8" width="16.42578125" style="1" customWidth="1"/>
    <col min="9" max="9" width="12.85546875" style="1" customWidth="1"/>
    <col min="10" max="10" width="18.5703125" style="1" customWidth="1"/>
    <col min="11" max="16384" width="11.42578125" style="1"/>
  </cols>
  <sheetData>
    <row r="1" spans="1:7" ht="69.75" customHeight="1" thickBot="1" x14ac:dyDescent="0.3">
      <c r="B1" s="770" t="s">
        <v>330</v>
      </c>
      <c r="C1" s="770"/>
      <c r="D1" s="770"/>
      <c r="E1" s="770"/>
      <c r="F1" s="770"/>
      <c r="G1" s="770"/>
    </row>
    <row r="2" spans="1:7" s="2" customFormat="1" ht="93.75" customHeight="1" thickBot="1" x14ac:dyDescent="0.3">
      <c r="B2" s="79" t="s">
        <v>1</v>
      </c>
      <c r="C2" s="144" t="s">
        <v>54</v>
      </c>
      <c r="D2" s="144" t="s">
        <v>62</v>
      </c>
      <c r="E2" s="145" t="s">
        <v>56</v>
      </c>
      <c r="F2" s="146" t="s">
        <v>57</v>
      </c>
      <c r="G2" s="147" t="s">
        <v>55</v>
      </c>
    </row>
    <row r="3" spans="1:7" s="2" customFormat="1" ht="40.5" customHeight="1" x14ac:dyDescent="0.25">
      <c r="A3" s="4">
        <v>1</v>
      </c>
      <c r="B3" s="555" t="s">
        <v>132</v>
      </c>
      <c r="C3" s="556">
        <v>21</v>
      </c>
      <c r="D3" s="557">
        <f>[11]CONSOLIDADO!C33</f>
        <v>1</v>
      </c>
      <c r="E3" s="558">
        <f>[11]CONSOLIDADO!D33</f>
        <v>5312454325.1099997</v>
      </c>
      <c r="F3" s="558">
        <f>[11]CONSOLIDADO!E33</f>
        <v>4747800427.1400003</v>
      </c>
      <c r="G3" s="559">
        <f>F3/E3</f>
        <v>0.89371129361035817</v>
      </c>
    </row>
    <row r="4" spans="1:7" s="2" customFormat="1" ht="27.75" customHeight="1" x14ac:dyDescent="0.25">
      <c r="A4" s="4">
        <v>2</v>
      </c>
      <c r="B4" s="560" t="s">
        <v>133</v>
      </c>
      <c r="C4" s="561">
        <v>1</v>
      </c>
      <c r="D4" s="374">
        <f>[11]CONSOLIDADO!C34</f>
        <v>1</v>
      </c>
      <c r="E4" s="562">
        <f>[11]CONSOLIDADO!D34</f>
        <v>41316004</v>
      </c>
      <c r="F4" s="562">
        <f>[11]CONSOLIDADO!E34</f>
        <v>0</v>
      </c>
      <c r="G4" s="563">
        <f>F4/E4</f>
        <v>0</v>
      </c>
    </row>
    <row r="5" spans="1:7" s="2" customFormat="1" ht="26.25" customHeight="1" thickBot="1" x14ac:dyDescent="0.3">
      <c r="A5" s="4">
        <v>3</v>
      </c>
      <c r="B5" s="564" t="s">
        <v>134</v>
      </c>
      <c r="C5" s="565">
        <v>1</v>
      </c>
      <c r="D5" s="379">
        <f>[11]CONSOLIDADO!C35</f>
        <v>1</v>
      </c>
      <c r="E5" s="566">
        <f>[11]CONSOLIDADO!D35</f>
        <v>4699423434</v>
      </c>
      <c r="F5" s="566">
        <f>[11]CONSOLIDADO!E35</f>
        <v>4698860000</v>
      </c>
      <c r="G5" s="567">
        <f>F5/E5</f>
        <v>0.99988010571766661</v>
      </c>
    </row>
    <row r="6" spans="1:7" s="2" customFormat="1" ht="18.75" customHeight="1" thickBot="1" x14ac:dyDescent="0.3">
      <c r="A6" s="4"/>
      <c r="B6" s="568" t="s">
        <v>0</v>
      </c>
      <c r="C6" s="569">
        <f>SUM(C3:C5)</f>
        <v>23</v>
      </c>
      <c r="D6" s="570">
        <f>SUM(D3:D5)/3</f>
        <v>1</v>
      </c>
      <c r="E6" s="571">
        <f>SUM(E3:E5)</f>
        <v>10053193763.110001</v>
      </c>
      <c r="F6" s="571">
        <f>SUM(F3:F5)</f>
        <v>9446660427.1399994</v>
      </c>
      <c r="G6" s="572">
        <f>F6/E6</f>
        <v>0.93966759715746617</v>
      </c>
    </row>
    <row r="7" spans="1:7" s="2" customFormat="1" ht="18.75" hidden="1" customHeight="1" x14ac:dyDescent="0.25">
      <c r="A7" s="4"/>
      <c r="B7" s="91"/>
      <c r="C7" s="92"/>
      <c r="D7" s="93">
        <v>1</v>
      </c>
      <c r="E7" s="94"/>
      <c r="F7" s="94"/>
      <c r="G7" s="95">
        <v>1</v>
      </c>
    </row>
    <row r="8" spans="1:7" ht="18.75" hidden="1" customHeight="1" x14ac:dyDescent="0.25">
      <c r="B8" s="15"/>
      <c r="C8" s="15"/>
      <c r="D8" s="252">
        <v>0</v>
      </c>
      <c r="G8" s="254">
        <v>0</v>
      </c>
    </row>
    <row r="9" spans="1:7" s="18" customFormat="1" ht="18.75" customHeight="1" thickBot="1" x14ac:dyDescent="0.3">
      <c r="B9" s="34"/>
      <c r="C9" s="34"/>
      <c r="D9" s="573"/>
      <c r="E9" s="574"/>
      <c r="F9" s="574"/>
      <c r="G9" s="575"/>
    </row>
    <row r="10" spans="1:7" ht="18.75" customHeight="1" thickBot="1" x14ac:dyDescent="0.3">
      <c r="B10" s="2"/>
      <c r="C10" s="2"/>
      <c r="D10" s="2"/>
      <c r="E10" s="755" t="s">
        <v>16</v>
      </c>
      <c r="F10" s="756"/>
      <c r="G10" s="757"/>
    </row>
    <row r="11" spans="1:7" s="2" customFormat="1" ht="15.75" thickBot="1" x14ac:dyDescent="0.3">
      <c r="A11" s="1"/>
      <c r="E11" s="282" t="s">
        <v>13</v>
      </c>
      <c r="F11" s="280" t="s">
        <v>14</v>
      </c>
      <c r="G11" s="281" t="s">
        <v>15</v>
      </c>
    </row>
    <row r="12" spans="1:7" s="2" customFormat="1" x14ac:dyDescent="0.25">
      <c r="A12" s="1"/>
      <c r="E12" s="148" t="s">
        <v>345</v>
      </c>
      <c r="F12" s="149">
        <v>23</v>
      </c>
      <c r="G12" s="163">
        <f>F12/F15</f>
        <v>1</v>
      </c>
    </row>
    <row r="13" spans="1:7" s="2" customFormat="1" x14ac:dyDescent="0.25">
      <c r="A13" s="1"/>
      <c r="E13" s="150" t="s">
        <v>346</v>
      </c>
      <c r="F13" s="151">
        <v>0</v>
      </c>
      <c r="G13" s="163">
        <f>F13/F15</f>
        <v>0</v>
      </c>
    </row>
    <row r="14" spans="1:7" s="2" customFormat="1" ht="15.75" thickBot="1" x14ac:dyDescent="0.3">
      <c r="A14" s="1"/>
      <c r="E14" s="152" t="s">
        <v>344</v>
      </c>
      <c r="F14" s="153">
        <v>0</v>
      </c>
      <c r="G14" s="163">
        <f>F14/F15</f>
        <v>0</v>
      </c>
    </row>
    <row r="15" spans="1:7" s="2" customFormat="1" ht="15.75" thickBot="1" x14ac:dyDescent="0.3">
      <c r="A15" s="1"/>
      <c r="E15" s="426" t="s">
        <v>17</v>
      </c>
      <c r="F15" s="154">
        <f>SUM(F12:F14)</f>
        <v>23</v>
      </c>
      <c r="G15" s="164"/>
    </row>
    <row r="16" spans="1:7" s="2" customFormat="1" ht="15.75" thickBot="1" x14ac:dyDescent="0.3">
      <c r="A16" s="1"/>
      <c r="E16" s="452"/>
      <c r="F16" s="452"/>
      <c r="G16" s="453"/>
    </row>
    <row r="17" spans="1:7" s="2" customFormat="1" ht="15.75" thickBot="1" x14ac:dyDescent="0.3">
      <c r="A17" s="1"/>
      <c r="E17" s="755" t="s">
        <v>6</v>
      </c>
      <c r="F17" s="756"/>
      <c r="G17" s="757"/>
    </row>
    <row r="18" spans="1:7" s="2" customFormat="1" ht="15.75" thickBot="1" x14ac:dyDescent="0.3">
      <c r="A18" s="1"/>
      <c r="B18" s="3"/>
      <c r="C18" s="3"/>
      <c r="D18" s="3"/>
      <c r="E18" s="454" t="s">
        <v>3</v>
      </c>
      <c r="F18" s="455" t="s">
        <v>4</v>
      </c>
      <c r="G18" s="165" t="s">
        <v>213</v>
      </c>
    </row>
    <row r="19" spans="1:7" s="3" customFormat="1" ht="15.75" thickBot="1" x14ac:dyDescent="0.3">
      <c r="A19" s="1"/>
      <c r="E19" s="428">
        <f>E6</f>
        <v>10053193763.110001</v>
      </c>
      <c r="F19" s="456">
        <f>F6</f>
        <v>9446660427.1399994</v>
      </c>
      <c r="G19" s="70">
        <f>G6</f>
        <v>0.93966759715746617</v>
      </c>
    </row>
    <row r="20" spans="1:7" s="3" customFormat="1" x14ac:dyDescent="0.25">
      <c r="A20" s="1"/>
      <c r="G20" s="6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s="3" customFormat="1" x14ac:dyDescent="0.25">
      <c r="A23" s="1"/>
      <c r="G23" s="2"/>
    </row>
    <row r="24" spans="1:7" s="3" customFormat="1" x14ac:dyDescent="0.25">
      <c r="A24" s="1"/>
      <c r="G24" s="2"/>
    </row>
    <row r="25" spans="1:7" s="3" customFormat="1" x14ac:dyDescent="0.25">
      <c r="A25" s="1"/>
      <c r="B25" s="1"/>
      <c r="C25" s="1"/>
      <c r="D25" s="1"/>
      <c r="G25" s="2"/>
    </row>
  </sheetData>
  <mergeCells count="3">
    <mergeCell ref="B1:G1"/>
    <mergeCell ref="E10:G10"/>
    <mergeCell ref="E17:G17"/>
  </mergeCells>
  <conditionalFormatting sqref="D6:D7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0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4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9"/>
  <sheetViews>
    <sheetView view="pageBreakPreview" zoomScale="73" zoomScaleNormal="80" zoomScaleSheetLayoutView="73" workbookViewId="0">
      <selection activeCell="D14" sqref="D14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2.85546875" style="3" customWidth="1"/>
    <col min="6" max="6" width="28.28515625" style="3" bestFit="1" customWidth="1"/>
    <col min="7" max="7" width="23.710937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58" t="s">
        <v>331</v>
      </c>
      <c r="C1" s="759"/>
      <c r="D1" s="759"/>
      <c r="E1" s="759"/>
      <c r="F1" s="759"/>
      <c r="G1" s="760"/>
    </row>
    <row r="2" spans="1:7" s="2" customFormat="1" ht="93" customHeight="1" thickBot="1" x14ac:dyDescent="0.3">
      <c r="B2" s="14" t="s">
        <v>1</v>
      </c>
      <c r="C2" s="170" t="s">
        <v>54</v>
      </c>
      <c r="D2" s="170" t="s">
        <v>62</v>
      </c>
      <c r="E2" s="171" t="s">
        <v>56</v>
      </c>
      <c r="F2" s="172" t="s">
        <v>57</v>
      </c>
      <c r="G2" s="173" t="s">
        <v>55</v>
      </c>
    </row>
    <row r="3" spans="1:7" s="2" customFormat="1" ht="52.5" customHeight="1" x14ac:dyDescent="0.25">
      <c r="A3" s="4">
        <v>1</v>
      </c>
      <c r="B3" s="530" t="s">
        <v>126</v>
      </c>
      <c r="C3" s="531">
        <v>1</v>
      </c>
      <c r="D3" s="532">
        <f>[12]CONSOLIDADO!C19</f>
        <v>0</v>
      </c>
      <c r="E3" s="533">
        <f>[12]CONSOLIDADO!D19</f>
        <v>56120000</v>
      </c>
      <c r="F3" s="533">
        <f>[12]CONSOLIDADO!E19</f>
        <v>0</v>
      </c>
      <c r="G3" s="485">
        <f>F3/E3</f>
        <v>0</v>
      </c>
    </row>
    <row r="4" spans="1:7" s="2" customFormat="1" ht="51.75" customHeight="1" x14ac:dyDescent="0.25">
      <c r="A4" s="4">
        <v>2</v>
      </c>
      <c r="B4" s="534" t="s">
        <v>127</v>
      </c>
      <c r="C4" s="414">
        <v>8</v>
      </c>
      <c r="D4" s="535">
        <f>[12]CONSOLIDADO!C20</f>
        <v>0.97570000000000001</v>
      </c>
      <c r="E4" s="375">
        <f>[12]CONSOLIDADO!D20</f>
        <v>1045980000</v>
      </c>
      <c r="F4" s="536">
        <f>[12]CONSOLIDADO!E20</f>
        <v>823391903</v>
      </c>
      <c r="G4" s="374">
        <f>F4/E4</f>
        <v>0.78719660318552931</v>
      </c>
    </row>
    <row r="5" spans="1:7" s="2" customFormat="1" ht="50.25" customHeight="1" thickBot="1" x14ac:dyDescent="0.3">
      <c r="A5" s="4">
        <v>3</v>
      </c>
      <c r="B5" s="537" t="s">
        <v>128</v>
      </c>
      <c r="C5" s="538">
        <v>2</v>
      </c>
      <c r="D5" s="539">
        <f>[12]CONSOLIDADO!C21</f>
        <v>0.87250000000000005</v>
      </c>
      <c r="E5" s="540">
        <f>[12]CONSOLIDADO!D21</f>
        <v>4095242655</v>
      </c>
      <c r="F5" s="540">
        <f>[12]CONSOLIDADO!E21</f>
        <v>3758812716</v>
      </c>
      <c r="G5" s="541">
        <f>F5/E5</f>
        <v>0.91784859473730007</v>
      </c>
    </row>
    <row r="6" spans="1:7" ht="20.25" customHeight="1" thickBot="1" x14ac:dyDescent="0.3">
      <c r="A6" s="4"/>
      <c r="B6" s="542" t="s">
        <v>0</v>
      </c>
      <c r="C6" s="516">
        <f>SUM(C3:C5)</f>
        <v>11</v>
      </c>
      <c r="D6" s="543">
        <f>SUM(D4:D5)/2</f>
        <v>0.92410000000000003</v>
      </c>
      <c r="E6" s="544">
        <f>SUM(E4:E5)</f>
        <v>5141222655</v>
      </c>
      <c r="F6" s="544">
        <f>SUM(F4:F5)</f>
        <v>4582204619</v>
      </c>
      <c r="G6" s="545">
        <f>F6/E6</f>
        <v>0.8912674915068427</v>
      </c>
    </row>
    <row r="7" spans="1:7" ht="23.25" hidden="1" customHeight="1" x14ac:dyDescent="0.25">
      <c r="A7" s="4"/>
      <c r="B7" s="111"/>
      <c r="C7" s="99"/>
      <c r="D7" s="112">
        <v>1</v>
      </c>
      <c r="E7" s="113"/>
      <c r="F7" s="113"/>
      <c r="G7" s="112">
        <v>1</v>
      </c>
    </row>
    <row r="8" spans="1:7" ht="17.100000000000001" hidden="1" customHeight="1" x14ac:dyDescent="0.25">
      <c r="B8" s="15"/>
      <c r="C8" s="15"/>
      <c r="D8" s="252">
        <v>0</v>
      </c>
      <c r="E8" s="16"/>
      <c r="F8" s="16"/>
      <c r="G8" s="252">
        <v>0</v>
      </c>
    </row>
    <row r="9" spans="1:7" ht="15.75" thickBot="1" x14ac:dyDescent="0.3"/>
    <row r="10" spans="1:7" ht="15.75" thickBot="1" x14ac:dyDescent="0.3">
      <c r="E10" s="755" t="s">
        <v>16</v>
      </c>
      <c r="F10" s="756"/>
      <c r="G10" s="757"/>
    </row>
    <row r="11" spans="1:7" ht="15.75" thickBot="1" x14ac:dyDescent="0.3">
      <c r="E11" s="282" t="s">
        <v>13</v>
      </c>
      <c r="F11" s="280" t="s">
        <v>14</v>
      </c>
      <c r="G11" s="281" t="s">
        <v>15</v>
      </c>
    </row>
    <row r="12" spans="1:7" x14ac:dyDescent="0.25">
      <c r="E12" s="66" t="s">
        <v>345</v>
      </c>
      <c r="F12" s="48">
        <v>8</v>
      </c>
      <c r="G12" s="163">
        <f>F12/F15</f>
        <v>0.72727272727272729</v>
      </c>
    </row>
    <row r="13" spans="1:7" x14ac:dyDescent="0.25">
      <c r="E13" s="67" t="s">
        <v>346</v>
      </c>
      <c r="F13" s="47">
        <v>2</v>
      </c>
      <c r="G13" s="163">
        <f>F13/F15</f>
        <v>0.18181818181818182</v>
      </c>
    </row>
    <row r="14" spans="1:7" ht="15.75" thickBot="1" x14ac:dyDescent="0.3">
      <c r="E14" s="68" t="s">
        <v>344</v>
      </c>
      <c r="F14" s="80">
        <v>1</v>
      </c>
      <c r="G14" s="163">
        <f>F14/F15</f>
        <v>9.0909090909090912E-2</v>
      </c>
    </row>
    <row r="15" spans="1:7" ht="15.75" thickBot="1" x14ac:dyDescent="0.3">
      <c r="E15" s="51" t="s">
        <v>17</v>
      </c>
      <c r="F15" s="52">
        <f>SUM(F12:F14)</f>
        <v>11</v>
      </c>
      <c r="G15" s="164"/>
    </row>
    <row r="16" spans="1:7" ht="15.75" thickBot="1" x14ac:dyDescent="0.3">
      <c r="E16" s="546"/>
      <c r="F16" s="546"/>
      <c r="G16" s="20"/>
    </row>
    <row r="17" spans="5:7" ht="15.75" thickBot="1" x14ac:dyDescent="0.3">
      <c r="E17" s="771" t="s">
        <v>24</v>
      </c>
      <c r="F17" s="772"/>
      <c r="G17" s="773"/>
    </row>
    <row r="18" spans="5:7" ht="15.75" thickBot="1" x14ac:dyDescent="0.3">
      <c r="E18" s="44" t="s">
        <v>3</v>
      </c>
      <c r="F18" s="45" t="s">
        <v>4</v>
      </c>
      <c r="G18" s="46" t="s">
        <v>213</v>
      </c>
    </row>
    <row r="19" spans="5:7" ht="15.75" thickBot="1" x14ac:dyDescent="0.3">
      <c r="E19" s="547">
        <f>E6</f>
        <v>5141222655</v>
      </c>
      <c r="F19" s="548">
        <f>F6</f>
        <v>4582204619</v>
      </c>
      <c r="G19" s="43">
        <f>G6</f>
        <v>0.8912674915068427</v>
      </c>
    </row>
  </sheetData>
  <mergeCells count="3">
    <mergeCell ref="B1:G1"/>
    <mergeCell ref="E10:G10"/>
    <mergeCell ref="E17:G17"/>
  </mergeCells>
  <conditionalFormatting sqref="D6:D7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8"/>
  <sheetViews>
    <sheetView view="pageBreakPreview" zoomScale="73" zoomScaleNormal="66" zoomScaleSheetLayoutView="73" workbookViewId="0">
      <selection activeCell="D11" sqref="D11"/>
    </sheetView>
  </sheetViews>
  <sheetFormatPr baseColWidth="10" defaultColWidth="11.42578125" defaultRowHeight="15" x14ac:dyDescent="0.25"/>
  <cols>
    <col min="1" max="1" width="3" style="6" bestFit="1" customWidth="1"/>
    <col min="2" max="2" width="60.5703125" style="1" customWidth="1"/>
    <col min="3" max="4" width="20.5703125" style="1" customWidth="1"/>
    <col min="5" max="5" width="22" style="3" customWidth="1"/>
    <col min="6" max="6" width="22.7109375" style="3" customWidth="1"/>
    <col min="7" max="7" width="22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74" t="s">
        <v>332</v>
      </c>
      <c r="C1" s="775"/>
      <c r="D1" s="775"/>
      <c r="E1" s="759"/>
      <c r="F1" s="759"/>
      <c r="G1" s="760"/>
    </row>
    <row r="2" spans="1:7" s="2" customFormat="1" ht="81.75" customHeight="1" thickBot="1" x14ac:dyDescent="0.3">
      <c r="A2" s="41"/>
      <c r="B2" s="79" t="s">
        <v>1</v>
      </c>
      <c r="C2" s="144" t="s">
        <v>54</v>
      </c>
      <c r="D2" s="144" t="s">
        <v>62</v>
      </c>
      <c r="E2" s="145" t="s">
        <v>56</v>
      </c>
      <c r="F2" s="146" t="s">
        <v>57</v>
      </c>
      <c r="G2" s="147" t="s">
        <v>55</v>
      </c>
    </row>
    <row r="3" spans="1:7" s="2" customFormat="1" ht="61.5" customHeight="1" x14ac:dyDescent="0.25">
      <c r="A3" s="41">
        <v>1</v>
      </c>
      <c r="B3" s="549" t="s">
        <v>129</v>
      </c>
      <c r="C3" s="550">
        <v>1</v>
      </c>
      <c r="D3" s="551">
        <v>1</v>
      </c>
      <c r="E3" s="552" t="str">
        <f>[13]CONSOLIDADO!E10</f>
        <v xml:space="preserve">Actividades de Gestión </v>
      </c>
      <c r="F3" s="465" t="str">
        <f>[13]CONSOLIDADO!F10</f>
        <v xml:space="preserve">Actividades de Gestión </v>
      </c>
      <c r="G3" s="465" t="s">
        <v>180</v>
      </c>
    </row>
    <row r="4" spans="1:7" s="2" customFormat="1" ht="97.5" customHeight="1" thickBot="1" x14ac:dyDescent="0.3">
      <c r="A4" s="41">
        <v>2</v>
      </c>
      <c r="B4" s="553" t="s">
        <v>130</v>
      </c>
      <c r="C4" s="397">
        <v>2</v>
      </c>
      <c r="D4" s="398">
        <v>1</v>
      </c>
      <c r="E4" s="554">
        <f>[13]CONSOLIDADO!E11</f>
        <v>1334800000</v>
      </c>
      <c r="F4" s="554">
        <f>[13]CONSOLIDADO!F11</f>
        <v>1201800194</v>
      </c>
      <c r="G4" s="476">
        <f>F4/E4</f>
        <v>0.90035974977524724</v>
      </c>
    </row>
    <row r="5" spans="1:7" ht="17.100000000000001" customHeight="1" thickBot="1" x14ac:dyDescent="0.3">
      <c r="B5" s="182" t="s">
        <v>0</v>
      </c>
      <c r="C5" s="183">
        <v>3</v>
      </c>
      <c r="D5" s="184">
        <f>SUM(D3:D4)/2</f>
        <v>1</v>
      </c>
      <c r="E5" s="185">
        <f>E4</f>
        <v>1334800000</v>
      </c>
      <c r="F5" s="185">
        <f>F4</f>
        <v>1201800194</v>
      </c>
      <c r="G5" s="186">
        <f>F5/E5</f>
        <v>0.90035974977524724</v>
      </c>
    </row>
    <row r="6" spans="1:7" ht="17.100000000000001" hidden="1" customHeight="1" x14ac:dyDescent="0.25">
      <c r="B6" s="91"/>
      <c r="C6" s="114"/>
      <c r="D6" s="104">
        <v>1</v>
      </c>
      <c r="E6" s="115"/>
      <c r="F6" s="115"/>
      <c r="G6" s="116">
        <v>1</v>
      </c>
    </row>
    <row r="7" spans="1:7" hidden="1" x14ac:dyDescent="0.25">
      <c r="B7" s="15"/>
      <c r="C7" s="15"/>
      <c r="D7" s="252">
        <v>0</v>
      </c>
      <c r="E7" s="16"/>
      <c r="F7" s="16"/>
      <c r="G7" s="253">
        <v>0</v>
      </c>
    </row>
    <row r="8" spans="1:7" ht="15.75" thickBot="1" x14ac:dyDescent="0.3"/>
    <row r="9" spans="1:7" ht="15.75" thickBot="1" x14ac:dyDescent="0.3">
      <c r="E9" s="761" t="s">
        <v>16</v>
      </c>
      <c r="F9" s="762"/>
      <c r="G9" s="763"/>
    </row>
    <row r="10" spans="1:7" ht="15.75" thickBot="1" x14ac:dyDescent="0.3">
      <c r="E10" s="136" t="s">
        <v>13</v>
      </c>
      <c r="F10" s="137" t="s">
        <v>14</v>
      </c>
      <c r="G10" s="138" t="s">
        <v>15</v>
      </c>
    </row>
    <row r="11" spans="1:7" x14ac:dyDescent="0.25">
      <c r="E11" s="155" t="s">
        <v>345</v>
      </c>
      <c r="F11" s="156">
        <v>3</v>
      </c>
      <c r="G11" s="23">
        <f>F11/F14</f>
        <v>1</v>
      </c>
    </row>
    <row r="12" spans="1:7" x14ac:dyDescent="0.25">
      <c r="E12" s="157" t="s">
        <v>346</v>
      </c>
      <c r="F12" s="158"/>
      <c r="G12" s="23">
        <f>F12/F14</f>
        <v>0</v>
      </c>
    </row>
    <row r="13" spans="1:7" ht="15.75" thickBot="1" x14ac:dyDescent="0.3">
      <c r="E13" s="159" t="s">
        <v>344</v>
      </c>
      <c r="F13" s="160"/>
      <c r="G13" s="23">
        <f>F13/F14</f>
        <v>0</v>
      </c>
    </row>
    <row r="14" spans="1:7" ht="15.75" thickBot="1" x14ac:dyDescent="0.3">
      <c r="E14" s="161" t="s">
        <v>17</v>
      </c>
      <c r="F14" s="162">
        <f>SUM(F11:F13)</f>
        <v>3</v>
      </c>
      <c r="G14" s="50"/>
    </row>
    <row r="15" spans="1:7" ht="15.75" thickBot="1" x14ac:dyDescent="0.3">
      <c r="E15" s="161"/>
      <c r="F15" s="187"/>
      <c r="G15" s="50"/>
    </row>
    <row r="16" spans="1:7" ht="15.75" thickBot="1" x14ac:dyDescent="0.3">
      <c r="E16" s="761" t="s">
        <v>25</v>
      </c>
      <c r="F16" s="762"/>
      <c r="G16" s="763"/>
    </row>
    <row r="17" spans="5:7" ht="15.75" thickBot="1" x14ac:dyDescent="0.3">
      <c r="E17" s="167" t="s">
        <v>3</v>
      </c>
      <c r="F17" s="168" t="s">
        <v>4</v>
      </c>
      <c r="G17" s="30" t="s">
        <v>213</v>
      </c>
    </row>
    <row r="18" spans="5:7" ht="15.75" thickBot="1" x14ac:dyDescent="0.3">
      <c r="E18" s="28">
        <f>E5</f>
        <v>1334800000</v>
      </c>
      <c r="F18" s="169">
        <f>F5</f>
        <v>1201800194</v>
      </c>
      <c r="G18" s="29">
        <f>G5</f>
        <v>0.90035974977524724</v>
      </c>
    </row>
  </sheetData>
  <mergeCells count="3">
    <mergeCell ref="B1:G1"/>
    <mergeCell ref="E9:G9"/>
    <mergeCell ref="E16:G16"/>
  </mergeCells>
  <conditionalFormatting sqref="D3:D6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6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7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7"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0"/>
  <sheetViews>
    <sheetView view="pageBreakPreview" zoomScale="70" zoomScaleNormal="68" zoomScaleSheetLayoutView="70" workbookViewId="0">
      <selection activeCell="G7" sqref="G7"/>
    </sheetView>
  </sheetViews>
  <sheetFormatPr baseColWidth="10" defaultColWidth="11.42578125" defaultRowHeight="15" x14ac:dyDescent="0.25"/>
  <cols>
    <col min="1" max="1" width="3" style="1" bestFit="1" customWidth="1"/>
    <col min="2" max="2" width="58.5703125" style="1" customWidth="1"/>
    <col min="3" max="4" width="20.5703125" style="1" customWidth="1"/>
    <col min="5" max="5" width="23.42578125" style="3" customWidth="1"/>
    <col min="6" max="6" width="28.8554687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58" t="s">
        <v>333</v>
      </c>
      <c r="C1" s="759"/>
      <c r="D1" s="759"/>
      <c r="E1" s="759"/>
      <c r="F1" s="759"/>
      <c r="G1" s="760"/>
    </row>
    <row r="2" spans="1:7" s="2" customFormat="1" ht="109.5" customHeight="1" thickBot="1" x14ac:dyDescent="0.3">
      <c r="B2" s="79" t="s">
        <v>1</v>
      </c>
      <c r="C2" s="144" t="s">
        <v>54</v>
      </c>
      <c r="D2" s="144" t="s">
        <v>62</v>
      </c>
      <c r="E2" s="145" t="s">
        <v>56</v>
      </c>
      <c r="F2" s="146" t="s">
        <v>57</v>
      </c>
      <c r="G2" s="147" t="s">
        <v>55</v>
      </c>
    </row>
    <row r="3" spans="1:7" s="54" customFormat="1" ht="60.75" customHeight="1" x14ac:dyDescent="0.25">
      <c r="A3" s="53">
        <v>1</v>
      </c>
      <c r="B3" s="370" t="s">
        <v>135</v>
      </c>
      <c r="C3" s="576">
        <v>5</v>
      </c>
      <c r="D3" s="475">
        <f>[14]CONSOLIDADO!C25</f>
        <v>0.5</v>
      </c>
      <c r="E3" s="577">
        <f>[14]CONSOLIDADO!D25</f>
        <v>937363000</v>
      </c>
      <c r="F3" s="489">
        <f>[14]CONSOLIDADO!E25</f>
        <v>0</v>
      </c>
      <c r="G3" s="578">
        <f>F3/E3</f>
        <v>0</v>
      </c>
    </row>
    <row r="4" spans="1:7" s="54" customFormat="1" ht="48" customHeight="1" x14ac:dyDescent="0.25">
      <c r="A4" s="53">
        <v>2</v>
      </c>
      <c r="B4" s="372" t="s">
        <v>136</v>
      </c>
      <c r="C4" s="414">
        <v>8</v>
      </c>
      <c r="D4" s="374">
        <f>[14]CONSOLIDADO!C26</f>
        <v>0.88</v>
      </c>
      <c r="E4" s="579">
        <f>[14]CONSOLIDADO!D26</f>
        <v>700749999</v>
      </c>
      <c r="F4" s="579">
        <f>[14]CONSOLIDADO!E26</f>
        <v>678313330</v>
      </c>
      <c r="G4" s="580">
        <f>F4/E4</f>
        <v>0.96798192075345257</v>
      </c>
    </row>
    <row r="5" spans="1:7" s="54" customFormat="1" ht="49.5" customHeight="1" thickBot="1" x14ac:dyDescent="0.3">
      <c r="A5" s="53">
        <v>3</v>
      </c>
      <c r="B5" s="377" t="s">
        <v>137</v>
      </c>
      <c r="C5" s="581">
        <v>2</v>
      </c>
      <c r="D5" s="379">
        <f>[14]CONSOLIDADO!C27</f>
        <v>0.71</v>
      </c>
      <c r="E5" s="582">
        <f>[14]CONSOLIDADO!D27</f>
        <v>121000000</v>
      </c>
      <c r="F5" s="582">
        <f>[14]CONSOLIDADO!E27</f>
        <v>90292192</v>
      </c>
      <c r="G5" s="583">
        <f>F5/E5</f>
        <v>0.74621646280991738</v>
      </c>
    </row>
    <row r="6" spans="1:7" s="54" customFormat="1" ht="35.1" hidden="1" customHeight="1" thickBot="1" x14ac:dyDescent="0.3">
      <c r="A6" s="53"/>
      <c r="B6" s="188"/>
      <c r="C6" s="189"/>
      <c r="D6" s="189"/>
      <c r="E6" s="128"/>
      <c r="F6" s="128"/>
      <c r="G6" s="96" t="e">
        <f>F6/E6</f>
        <v>#DIV/0!</v>
      </c>
    </row>
    <row r="7" spans="1:7" s="54" customFormat="1" ht="24.75" customHeight="1" thickBot="1" x14ac:dyDescent="0.3">
      <c r="A7" s="53"/>
      <c r="B7" s="174" t="s">
        <v>0</v>
      </c>
      <c r="C7" s="179">
        <f>SUM(C3:C6)</f>
        <v>15</v>
      </c>
      <c r="D7" s="180">
        <f>SUM(D3:D6)/3</f>
        <v>0.69666666666666666</v>
      </c>
      <c r="E7" s="168">
        <f>SUM(E4:E5)</f>
        <v>821749999</v>
      </c>
      <c r="F7" s="168">
        <f>SUM(F4:F5)</f>
        <v>768605522</v>
      </c>
      <c r="G7" s="97">
        <f>F7/E7</f>
        <v>0.93532768230645291</v>
      </c>
    </row>
    <row r="8" spans="1:7" s="54" customFormat="1" hidden="1" x14ac:dyDescent="0.25">
      <c r="A8" s="53"/>
      <c r="B8" s="98"/>
      <c r="C8" s="99"/>
      <c r="D8" s="107">
        <v>1</v>
      </c>
      <c r="E8" s="117"/>
      <c r="F8" s="117"/>
      <c r="G8" s="76">
        <v>1</v>
      </c>
    </row>
    <row r="9" spans="1:7" s="54" customFormat="1" hidden="1" x14ac:dyDescent="0.25">
      <c r="A9" s="53"/>
      <c r="B9" s="55"/>
      <c r="C9" s="55"/>
      <c r="D9" s="255">
        <v>0</v>
      </c>
      <c r="E9" s="55"/>
      <c r="F9" s="55"/>
      <c r="G9" s="255">
        <v>0</v>
      </c>
    </row>
    <row r="10" spans="1:7" s="55" customFormat="1" ht="35.1" customHeight="1" thickBot="1" x14ac:dyDescent="0.3">
      <c r="B10" s="54"/>
      <c r="C10" s="54"/>
      <c r="D10" s="54"/>
      <c r="E10" s="54"/>
      <c r="F10" s="54"/>
      <c r="G10" s="54"/>
    </row>
    <row r="11" spans="1:7" s="55" customFormat="1" ht="25.5" customHeight="1" thickBot="1" x14ac:dyDescent="0.3">
      <c r="E11" s="755" t="s">
        <v>16</v>
      </c>
      <c r="F11" s="756"/>
      <c r="G11" s="757"/>
    </row>
    <row r="12" spans="1:7" s="54" customFormat="1" ht="19.5" customHeight="1" thickBot="1" x14ac:dyDescent="0.3">
      <c r="A12" s="55"/>
      <c r="B12" s="1"/>
      <c r="C12" s="1"/>
      <c r="D12" s="1"/>
      <c r="E12" s="282" t="s">
        <v>13</v>
      </c>
      <c r="F12" s="280" t="s">
        <v>14</v>
      </c>
      <c r="G12" s="281" t="s">
        <v>15</v>
      </c>
    </row>
    <row r="13" spans="1:7" s="55" customFormat="1" ht="13.5" customHeight="1" x14ac:dyDescent="0.25">
      <c r="B13" s="1"/>
      <c r="C13" s="1"/>
      <c r="D13" s="1"/>
      <c r="E13" s="148" t="s">
        <v>345</v>
      </c>
      <c r="F13" s="149">
        <v>10</v>
      </c>
      <c r="G13" s="163">
        <f>F13/F16</f>
        <v>0.66666666666666663</v>
      </c>
    </row>
    <row r="14" spans="1:7" x14ac:dyDescent="0.25">
      <c r="E14" s="150" t="s">
        <v>346</v>
      </c>
      <c r="F14" s="151"/>
      <c r="G14" s="163">
        <f>F14/F16</f>
        <v>0</v>
      </c>
    </row>
    <row r="15" spans="1:7" ht="15.75" thickBot="1" x14ac:dyDescent="0.3">
      <c r="E15" s="152" t="s">
        <v>344</v>
      </c>
      <c r="F15" s="153">
        <v>5</v>
      </c>
      <c r="G15" s="163">
        <f>F15/F16</f>
        <v>0.33333333333333331</v>
      </c>
    </row>
    <row r="16" spans="1:7" ht="15.75" thickBot="1" x14ac:dyDescent="0.3">
      <c r="E16" s="426" t="s">
        <v>17</v>
      </c>
      <c r="F16" s="154">
        <f>SUM(F13:F15)</f>
        <v>15</v>
      </c>
      <c r="G16" s="164"/>
    </row>
    <row r="17" spans="5:7" ht="15.75" thickBot="1" x14ac:dyDescent="0.3">
      <c r="E17" s="426"/>
      <c r="F17" s="584"/>
      <c r="G17" s="164"/>
    </row>
    <row r="18" spans="5:7" ht="15.75" thickBot="1" x14ac:dyDescent="0.3">
      <c r="E18" s="755" t="s">
        <v>25</v>
      </c>
      <c r="F18" s="756"/>
      <c r="G18" s="757"/>
    </row>
    <row r="19" spans="5:7" ht="15.75" thickBot="1" x14ac:dyDescent="0.3">
      <c r="E19" s="506" t="s">
        <v>3</v>
      </c>
      <c r="F19" s="507" t="s">
        <v>4</v>
      </c>
      <c r="G19" s="508" t="s">
        <v>213</v>
      </c>
    </row>
    <row r="20" spans="5:7" ht="15.75" thickBot="1" x14ac:dyDescent="0.3">
      <c r="E20" s="428">
        <f>E7</f>
        <v>821749999</v>
      </c>
      <c r="F20" s="456">
        <f>F7</f>
        <v>768605522</v>
      </c>
      <c r="G20" s="70">
        <f>G7</f>
        <v>0.93532768230645291</v>
      </c>
    </row>
  </sheetData>
  <mergeCells count="3">
    <mergeCell ref="E11:G11"/>
    <mergeCell ref="E18:G18"/>
    <mergeCell ref="B1:G1"/>
  </mergeCells>
  <conditionalFormatting sqref="D6:D8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9"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9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38"/>
  <sheetViews>
    <sheetView view="pageBreakPreview" topLeftCell="A4" zoomScale="60" zoomScaleNormal="80" workbookViewId="0">
      <selection activeCell="D33" sqref="D33"/>
    </sheetView>
  </sheetViews>
  <sheetFormatPr baseColWidth="10" defaultColWidth="11.42578125" defaultRowHeight="15" x14ac:dyDescent="0.25"/>
  <cols>
    <col min="1" max="1" width="5.85546875" style="129" customWidth="1"/>
    <col min="2" max="2" width="60.5703125" style="1" customWidth="1"/>
    <col min="3" max="3" width="20.5703125" style="1" customWidth="1"/>
    <col min="4" max="4" width="25" style="1" bestFit="1" customWidth="1"/>
    <col min="5" max="5" width="31.5703125" style="40" customWidth="1"/>
    <col min="6" max="6" width="33.140625" style="40" customWidth="1"/>
    <col min="7" max="7" width="28.140625" style="20" customWidth="1"/>
    <col min="8" max="8" width="5.140625" style="1" customWidth="1"/>
    <col min="9" max="16384" width="11.42578125" style="1"/>
  </cols>
  <sheetData>
    <row r="1" spans="1:7" ht="69.75" customHeight="1" thickBot="1" x14ac:dyDescent="0.3">
      <c r="B1" s="758" t="s">
        <v>334</v>
      </c>
      <c r="C1" s="759"/>
      <c r="D1" s="759"/>
      <c r="E1" s="759"/>
      <c r="F1" s="759"/>
      <c r="G1" s="760"/>
    </row>
    <row r="2" spans="1:7" s="2" customFormat="1" ht="102.75" customHeight="1" thickBot="1" x14ac:dyDescent="0.3">
      <c r="A2" s="130"/>
      <c r="B2" s="79" t="s">
        <v>1</v>
      </c>
      <c r="C2" s="144" t="s">
        <v>54</v>
      </c>
      <c r="D2" s="144" t="s">
        <v>62</v>
      </c>
      <c r="E2" s="145" t="s">
        <v>56</v>
      </c>
      <c r="F2" s="146" t="s">
        <v>57</v>
      </c>
      <c r="G2" s="147" t="s">
        <v>55</v>
      </c>
    </row>
    <row r="3" spans="1:7" s="41" customFormat="1" ht="36.75" customHeight="1" x14ac:dyDescent="0.25">
      <c r="A3" s="131">
        <v>1</v>
      </c>
      <c r="B3" s="585" t="s">
        <v>192</v>
      </c>
      <c r="C3" s="435">
        <v>8</v>
      </c>
      <c r="D3" s="388">
        <f>[15]CONSOLIDADO!C136</f>
        <v>0.91690000000000005</v>
      </c>
      <c r="E3" s="586">
        <f>[15]CONSOLIDADO!D136</f>
        <v>1361821180</v>
      </c>
      <c r="F3" s="586">
        <f>[15]CONSOLIDADO!E136</f>
        <v>713821179.87</v>
      </c>
      <c r="G3" s="390">
        <f>F3/E3</f>
        <v>0.52416660157246198</v>
      </c>
    </row>
    <row r="4" spans="1:7" s="41" customFormat="1" ht="36" customHeight="1" x14ac:dyDescent="0.25">
      <c r="A4" s="131">
        <v>2</v>
      </c>
      <c r="B4" s="587" t="s">
        <v>193</v>
      </c>
      <c r="C4" s="438">
        <v>3</v>
      </c>
      <c r="D4" s="392">
        <f>[15]CONSOLIDADO!C137</f>
        <v>1</v>
      </c>
      <c r="E4" s="588">
        <f>[15]CONSOLIDADO!D137</f>
        <v>1134878820</v>
      </c>
      <c r="F4" s="588">
        <f>[15]CONSOLIDADO!E137</f>
        <v>1134878820</v>
      </c>
      <c r="G4" s="394">
        <f t="shared" ref="G4:G22" si="0">F4/E4</f>
        <v>1</v>
      </c>
    </row>
    <row r="5" spans="1:7" s="6" customFormat="1" ht="27" customHeight="1" x14ac:dyDescent="0.25">
      <c r="A5" s="131">
        <v>3</v>
      </c>
      <c r="B5" s="587" t="s">
        <v>194</v>
      </c>
      <c r="C5" s="438">
        <v>4</v>
      </c>
      <c r="D5" s="392">
        <f>[15]CONSOLIDADO!C138</f>
        <v>0.75</v>
      </c>
      <c r="E5" s="588">
        <f>[15]CONSOLIDADO!D138</f>
        <v>1777186101</v>
      </c>
      <c r="F5" s="588">
        <f>[15]CONSOLIDADO!E138</f>
        <v>648080000</v>
      </c>
      <c r="G5" s="394">
        <f t="shared" si="0"/>
        <v>0.36466636759950666</v>
      </c>
    </row>
    <row r="6" spans="1:7" s="6" customFormat="1" ht="42.75" customHeight="1" x14ac:dyDescent="0.25">
      <c r="A6" s="131">
        <v>4</v>
      </c>
      <c r="B6" s="587" t="s">
        <v>195</v>
      </c>
      <c r="C6" s="438">
        <v>2</v>
      </c>
      <c r="D6" s="392">
        <f>[15]CONSOLIDADO!C139</f>
        <v>0.75</v>
      </c>
      <c r="E6" s="588">
        <f>[15]CONSOLIDADO!D139</f>
        <v>1933776552</v>
      </c>
      <c r="F6" s="588">
        <f>[15]CONSOLIDADO!E139</f>
        <v>651200000</v>
      </c>
      <c r="G6" s="394">
        <f t="shared" si="0"/>
        <v>0.33675038583258199</v>
      </c>
    </row>
    <row r="7" spans="1:7" s="6" customFormat="1" ht="20.100000000000001" customHeight="1" x14ac:dyDescent="0.25">
      <c r="A7" s="131">
        <v>5</v>
      </c>
      <c r="B7" s="587" t="s">
        <v>196</v>
      </c>
      <c r="C7" s="438">
        <v>2</v>
      </c>
      <c r="D7" s="392">
        <f>[15]CONSOLIDADO!C140</f>
        <v>0.97499999999999998</v>
      </c>
      <c r="E7" s="588">
        <f>[15]CONSOLIDADO!D140</f>
        <v>44850000</v>
      </c>
      <c r="F7" s="588">
        <f>[15]CONSOLIDADO!E140</f>
        <v>44850000</v>
      </c>
      <c r="G7" s="394">
        <f t="shared" si="0"/>
        <v>1</v>
      </c>
    </row>
    <row r="8" spans="1:7" s="6" customFormat="1" ht="20.100000000000001" customHeight="1" x14ac:dyDescent="0.25">
      <c r="A8" s="131">
        <v>6</v>
      </c>
      <c r="B8" s="587" t="s">
        <v>197</v>
      </c>
      <c r="C8" s="438">
        <v>2</v>
      </c>
      <c r="D8" s="392">
        <f>[15]CONSOLIDADO!C141</f>
        <v>1</v>
      </c>
      <c r="E8" s="589">
        <f>[15]CONSOLIDADO!D141</f>
        <v>100000000</v>
      </c>
      <c r="F8" s="589">
        <f>[15]CONSOLIDADO!E141</f>
        <v>100000000</v>
      </c>
      <c r="G8" s="394">
        <f t="shared" si="0"/>
        <v>1</v>
      </c>
    </row>
    <row r="9" spans="1:7" s="6" customFormat="1" ht="20.100000000000001" customHeight="1" x14ac:dyDescent="0.25">
      <c r="A9" s="131">
        <v>7</v>
      </c>
      <c r="B9" s="587" t="s">
        <v>198</v>
      </c>
      <c r="C9" s="438">
        <v>4</v>
      </c>
      <c r="D9" s="392">
        <f>[15]CONSOLIDADO!C142</f>
        <v>1</v>
      </c>
      <c r="E9" s="588">
        <f>[15]CONSOLIDADO!D142</f>
        <v>92400000</v>
      </c>
      <c r="F9" s="588">
        <f>[15]CONSOLIDADO!E142</f>
        <v>88950000</v>
      </c>
      <c r="G9" s="394">
        <f t="shared" si="0"/>
        <v>0.96266233766233766</v>
      </c>
    </row>
    <row r="10" spans="1:7" s="6" customFormat="1" ht="20.100000000000001" customHeight="1" x14ac:dyDescent="0.25">
      <c r="A10" s="131">
        <v>8</v>
      </c>
      <c r="B10" s="587" t="s">
        <v>199</v>
      </c>
      <c r="C10" s="438">
        <v>3</v>
      </c>
      <c r="D10" s="392">
        <f>[15]CONSOLIDADO!C143</f>
        <v>0.8</v>
      </c>
      <c r="E10" s="588">
        <f>[15]CONSOLIDADO!D143</f>
        <v>47940000</v>
      </c>
      <c r="F10" s="588">
        <f>[15]CONSOLIDADO!E143</f>
        <v>47940000</v>
      </c>
      <c r="G10" s="394">
        <f t="shared" si="0"/>
        <v>1</v>
      </c>
    </row>
    <row r="11" spans="1:7" s="6" customFormat="1" ht="20.100000000000001" customHeight="1" x14ac:dyDescent="0.25">
      <c r="A11" s="131">
        <v>9</v>
      </c>
      <c r="B11" s="587" t="s">
        <v>200</v>
      </c>
      <c r="C11" s="590">
        <v>9</v>
      </c>
      <c r="D11" s="392">
        <f>[15]CONSOLIDADO!C144</f>
        <v>0.89570000000000005</v>
      </c>
      <c r="E11" s="591">
        <f>[15]CONSOLIDADO!D144</f>
        <v>2445254647.73</v>
      </c>
      <c r="F11" s="591">
        <f>[15]CONSOLIDADO!E144</f>
        <v>1965667640.28</v>
      </c>
      <c r="G11" s="394">
        <f t="shared" si="0"/>
        <v>0.80387032168808492</v>
      </c>
    </row>
    <row r="12" spans="1:7" s="6" customFormat="1" ht="20.100000000000001" customHeight="1" x14ac:dyDescent="0.25">
      <c r="A12" s="131">
        <v>10</v>
      </c>
      <c r="B12" s="587" t="s">
        <v>201</v>
      </c>
      <c r="C12" s="438">
        <v>9</v>
      </c>
      <c r="D12" s="392">
        <f>[15]CONSOLIDADO!C145</f>
        <v>0.75560000000000005</v>
      </c>
      <c r="E12" s="588">
        <f>[15]CONSOLIDADO!D145</f>
        <v>69000000</v>
      </c>
      <c r="F12" s="588">
        <f>[15]CONSOLIDADO!E145</f>
        <v>69000000</v>
      </c>
      <c r="G12" s="394">
        <f t="shared" si="0"/>
        <v>1</v>
      </c>
    </row>
    <row r="13" spans="1:7" s="6" customFormat="1" ht="44.45" customHeight="1" x14ac:dyDescent="0.25">
      <c r="A13" s="131">
        <v>11</v>
      </c>
      <c r="B13" s="587" t="s">
        <v>202</v>
      </c>
      <c r="C13" s="438">
        <v>5</v>
      </c>
      <c r="D13" s="392">
        <f>[15]CONSOLIDADO!C146</f>
        <v>0.68669999999999998</v>
      </c>
      <c r="E13" s="588" t="str">
        <f>[15]CONSOLIDADO!D146</f>
        <v xml:space="preserve">Actividades con Gestión </v>
      </c>
      <c r="F13" s="588" t="str">
        <f>[15]CONSOLIDADO!E146</f>
        <v xml:space="preserve">Actividades con Gestión </v>
      </c>
      <c r="G13" s="724" t="str">
        <f>$F$13</f>
        <v xml:space="preserve">Actividades con Gestión </v>
      </c>
    </row>
    <row r="14" spans="1:7" s="6" customFormat="1" ht="27.6" customHeight="1" x14ac:dyDescent="0.25">
      <c r="A14" s="131">
        <v>12</v>
      </c>
      <c r="B14" s="587" t="s">
        <v>203</v>
      </c>
      <c r="C14" s="438">
        <v>2</v>
      </c>
      <c r="D14" s="392">
        <f>[15]CONSOLIDADO!C147</f>
        <v>1</v>
      </c>
      <c r="E14" s="588" t="str">
        <f>[15]CONSOLIDADO!D147</f>
        <v xml:space="preserve">Actividades con Gestión </v>
      </c>
      <c r="F14" s="588" t="str">
        <f>[15]CONSOLIDADO!E147</f>
        <v xml:space="preserve">Actividades con Gestión </v>
      </c>
      <c r="G14" s="725" t="str">
        <f>$F$13</f>
        <v xml:space="preserve">Actividades con Gestión </v>
      </c>
    </row>
    <row r="15" spans="1:7" s="6" customFormat="1" ht="35.1" customHeight="1" x14ac:dyDescent="0.25">
      <c r="A15" s="131">
        <v>13</v>
      </c>
      <c r="B15" s="587" t="s">
        <v>204</v>
      </c>
      <c r="C15" s="438">
        <v>11</v>
      </c>
      <c r="D15" s="392">
        <f>[15]CONSOLIDADO!C148</f>
        <v>0.43640000000000001</v>
      </c>
      <c r="E15" s="588" t="str">
        <f>[15]CONSOLIDADO!D148</f>
        <v xml:space="preserve">Actividades con Gestión </v>
      </c>
      <c r="F15" s="588" t="str">
        <f>[15]CONSOLIDADO!E148</f>
        <v xml:space="preserve">Actividades con Gestión </v>
      </c>
      <c r="G15" s="725" t="str">
        <f>$F$13</f>
        <v xml:space="preserve">Actividades con Gestión </v>
      </c>
    </row>
    <row r="16" spans="1:7" s="6" customFormat="1" ht="30" customHeight="1" x14ac:dyDescent="0.25">
      <c r="A16" s="131">
        <v>14</v>
      </c>
      <c r="B16" s="587" t="s">
        <v>205</v>
      </c>
      <c r="C16" s="438">
        <v>12</v>
      </c>
      <c r="D16" s="392">
        <f>[15]CONSOLIDADO!C149</f>
        <v>0.73260000000000003</v>
      </c>
      <c r="E16" s="588">
        <f>[15]CONSOLIDADO!D149</f>
        <v>2401627319</v>
      </c>
      <c r="F16" s="588">
        <f>[15]CONSOLIDADO!E149</f>
        <v>794938989</v>
      </c>
      <c r="G16" s="394">
        <f t="shared" si="0"/>
        <v>0.3310001442401147</v>
      </c>
    </row>
    <row r="17" spans="1:10" s="6" customFormat="1" ht="20.100000000000001" customHeight="1" x14ac:dyDescent="0.25">
      <c r="A17" s="131">
        <v>15</v>
      </c>
      <c r="B17" s="587" t="s">
        <v>206</v>
      </c>
      <c r="C17" s="438">
        <v>1</v>
      </c>
      <c r="D17" s="392">
        <f>[15]CONSOLIDADO!C150</f>
        <v>0.74</v>
      </c>
      <c r="E17" s="588">
        <f>[15]CONSOLIDADO!D150</f>
        <v>42300000</v>
      </c>
      <c r="F17" s="588">
        <f>[15]CONSOLIDADO!E150</f>
        <v>41150000</v>
      </c>
      <c r="G17" s="394">
        <f t="shared" si="0"/>
        <v>0.9728132387706856</v>
      </c>
    </row>
    <row r="18" spans="1:10" s="6" customFormat="1" ht="20.100000000000001" customHeight="1" x14ac:dyDescent="0.25">
      <c r="A18" s="131">
        <v>16</v>
      </c>
      <c r="B18" s="587" t="s">
        <v>207</v>
      </c>
      <c r="C18" s="438">
        <v>19</v>
      </c>
      <c r="D18" s="392">
        <f>[15]CONSOLIDADO!C151</f>
        <v>1</v>
      </c>
      <c r="E18" s="588">
        <f>[15]CONSOLIDADO!D151</f>
        <v>695900000</v>
      </c>
      <c r="F18" s="588">
        <f>[15]CONSOLIDADO!E151</f>
        <v>609701333</v>
      </c>
      <c r="G18" s="394">
        <f t="shared" si="0"/>
        <v>0.87613354361258799</v>
      </c>
    </row>
    <row r="19" spans="1:10" s="6" customFormat="1" ht="20.100000000000001" customHeight="1" x14ac:dyDescent="0.25">
      <c r="A19" s="131">
        <v>17</v>
      </c>
      <c r="B19" s="587" t="s">
        <v>208</v>
      </c>
      <c r="C19" s="438">
        <v>4</v>
      </c>
      <c r="D19" s="392">
        <f>[15]CONSOLIDADO!C152</f>
        <v>1</v>
      </c>
      <c r="E19" s="588">
        <f>[15]CONSOLIDADO!D152</f>
        <v>290647294</v>
      </c>
      <c r="F19" s="588">
        <f>[15]CONSOLIDADO!E152</f>
        <v>279833000</v>
      </c>
      <c r="G19" s="394">
        <f t="shared" si="0"/>
        <v>0.96279238023802138</v>
      </c>
    </row>
    <row r="20" spans="1:10" s="6" customFormat="1" ht="20.100000000000001" customHeight="1" x14ac:dyDescent="0.25">
      <c r="A20" s="131">
        <v>18</v>
      </c>
      <c r="B20" s="587" t="s">
        <v>209</v>
      </c>
      <c r="C20" s="438">
        <v>15</v>
      </c>
      <c r="D20" s="392">
        <f>[15]CONSOLIDADO!C153</f>
        <v>0.98</v>
      </c>
      <c r="E20" s="588">
        <f>[15]CONSOLIDADO!D153</f>
        <v>675482855</v>
      </c>
      <c r="F20" s="588">
        <f>[15]CONSOLIDADO!E153</f>
        <v>613440249</v>
      </c>
      <c r="G20" s="394">
        <f t="shared" si="0"/>
        <v>0.9081507316717905</v>
      </c>
    </row>
    <row r="21" spans="1:10" s="6" customFormat="1" ht="20.100000000000001" customHeight="1" x14ac:dyDescent="0.25">
      <c r="A21" s="131">
        <v>19</v>
      </c>
      <c r="B21" s="587" t="s">
        <v>210</v>
      </c>
      <c r="C21" s="438">
        <v>9</v>
      </c>
      <c r="D21" s="392">
        <f>[15]CONSOLIDADO!C154</f>
        <v>1</v>
      </c>
      <c r="E21" s="588">
        <f>[15]CONSOLIDADO!D154</f>
        <v>188950000</v>
      </c>
      <c r="F21" s="588">
        <f>[15]CONSOLIDADO!E154</f>
        <v>188950000</v>
      </c>
      <c r="G21" s="394">
        <f t="shared" si="0"/>
        <v>1</v>
      </c>
    </row>
    <row r="22" spans="1:10" s="6" customFormat="1" ht="20.100000000000001" customHeight="1" thickBot="1" x14ac:dyDescent="0.3">
      <c r="A22" s="131">
        <v>20</v>
      </c>
      <c r="B22" s="592" t="s">
        <v>211</v>
      </c>
      <c r="C22" s="593">
        <v>1</v>
      </c>
      <c r="D22" s="398">
        <f>[15]CONSOLIDADO!C155</f>
        <v>1</v>
      </c>
      <c r="E22" s="594">
        <f>[15]CONSOLIDADO!D155</f>
        <v>50700000</v>
      </c>
      <c r="F22" s="594">
        <f>[15]CONSOLIDADO!E155</f>
        <v>50700000</v>
      </c>
      <c r="G22" s="476">
        <f t="shared" si="0"/>
        <v>1</v>
      </c>
    </row>
    <row r="23" spans="1:10" s="6" customFormat="1" ht="18.75" thickBot="1" x14ac:dyDescent="0.3">
      <c r="A23" s="132"/>
      <c r="B23" s="401" t="s">
        <v>0</v>
      </c>
      <c r="C23" s="595">
        <f>SUM(C3:C22)</f>
        <v>125</v>
      </c>
      <c r="D23" s="596">
        <f>SUM(D3:D22)/20</f>
        <v>0.87094500000000008</v>
      </c>
      <c r="E23" s="597">
        <f>SUM(E3:E22)</f>
        <v>13352714768.73</v>
      </c>
      <c r="F23" s="597">
        <f>SUM(F3:F22)</f>
        <v>8043101211.1499996</v>
      </c>
      <c r="G23" s="478">
        <f>F23/E23</f>
        <v>0.60235700009002691</v>
      </c>
      <c r="I23" s="42"/>
      <c r="J23" s="49"/>
    </row>
    <row r="24" spans="1:10" s="6" customFormat="1" ht="14.1" hidden="1" customHeight="1" x14ac:dyDescent="0.25">
      <c r="A24" s="132"/>
      <c r="B24" s="103"/>
      <c r="C24" s="134"/>
      <c r="D24" s="104">
        <v>1</v>
      </c>
      <c r="E24" s="135"/>
      <c r="F24" s="135"/>
      <c r="G24" s="104">
        <v>1</v>
      </c>
      <c r="I24" s="42"/>
      <c r="J24" s="49"/>
    </row>
    <row r="25" spans="1:10" s="6" customFormat="1" ht="14.1" hidden="1" customHeight="1" x14ac:dyDescent="0.25">
      <c r="A25" s="132"/>
      <c r="B25" s="103"/>
      <c r="C25" s="134"/>
      <c r="D25" s="104">
        <v>0</v>
      </c>
      <c r="E25" s="135"/>
      <c r="F25" s="135"/>
      <c r="G25" s="104">
        <v>0</v>
      </c>
      <c r="I25" s="42"/>
      <c r="J25" s="49"/>
    </row>
    <row r="26" spans="1:10" ht="17.100000000000001" customHeight="1" x14ac:dyDescent="0.25">
      <c r="E26" s="38"/>
      <c r="F26" s="38"/>
      <c r="G26" s="36"/>
      <c r="I26" s="35"/>
    </row>
    <row r="27" spans="1:10" ht="17.100000000000001" customHeight="1" x14ac:dyDescent="0.25">
      <c r="B27" s="25"/>
      <c r="C27" s="25"/>
      <c r="D27" s="25"/>
      <c r="E27" s="38"/>
      <c r="F27" s="38"/>
      <c r="G27" s="36"/>
      <c r="I27" s="35"/>
    </row>
    <row r="28" spans="1:10" ht="15.75" thickBot="1" x14ac:dyDescent="0.3">
      <c r="E28" s="39"/>
      <c r="F28" s="39"/>
      <c r="G28" s="37"/>
    </row>
    <row r="29" spans="1:10" x14ac:dyDescent="0.25">
      <c r="B29" s="15"/>
      <c r="C29" s="15"/>
      <c r="D29" s="15"/>
      <c r="E29" s="776" t="s">
        <v>16</v>
      </c>
      <c r="F29" s="777"/>
      <c r="G29" s="778"/>
    </row>
    <row r="30" spans="1:10" x14ac:dyDescent="0.25">
      <c r="E30" s="72" t="s">
        <v>13</v>
      </c>
      <c r="F30" s="71" t="s">
        <v>14</v>
      </c>
      <c r="G30" s="73" t="s">
        <v>15</v>
      </c>
    </row>
    <row r="31" spans="1:10" x14ac:dyDescent="0.25">
      <c r="B31" s="15"/>
      <c r="C31" s="15"/>
      <c r="D31" s="15"/>
      <c r="E31" s="155" t="s">
        <v>345</v>
      </c>
      <c r="F31" s="190">
        <v>86</v>
      </c>
      <c r="G31" s="24">
        <f>F31/F34</f>
        <v>0.68799999999999994</v>
      </c>
    </row>
    <row r="32" spans="1:10" s="18" customFormat="1" x14ac:dyDescent="0.25">
      <c r="A32" s="133"/>
      <c r="B32" s="34"/>
      <c r="C32" s="34"/>
      <c r="D32" s="34"/>
      <c r="E32" s="157" t="s">
        <v>346</v>
      </c>
      <c r="F32" s="158">
        <v>9</v>
      </c>
      <c r="G32" s="24">
        <f>F32/F34</f>
        <v>7.1999999999999995E-2</v>
      </c>
    </row>
    <row r="33" spans="1:9" s="18" customFormat="1" ht="15.75" thickBot="1" x14ac:dyDescent="0.3">
      <c r="A33" s="133"/>
      <c r="E33" s="159" t="s">
        <v>344</v>
      </c>
      <c r="F33" s="160">
        <v>30</v>
      </c>
      <c r="G33" s="191">
        <f>F33/F34</f>
        <v>0.24</v>
      </c>
    </row>
    <row r="34" spans="1:9" ht="15.75" thickBot="1" x14ac:dyDescent="0.3">
      <c r="E34" s="161" t="s">
        <v>17</v>
      </c>
      <c r="F34" s="194">
        <f>SUM(F31:F33)</f>
        <v>125</v>
      </c>
      <c r="G34" s="195"/>
    </row>
    <row r="35" spans="1:9" ht="15.75" thickBot="1" x14ac:dyDescent="0.3">
      <c r="D35" s="22"/>
      <c r="E35" s="192"/>
      <c r="F35" s="193"/>
      <c r="G35" s="50"/>
      <c r="H35" s="22"/>
      <c r="I35" s="22"/>
    </row>
    <row r="36" spans="1:9" ht="15.75" thickBot="1" x14ac:dyDescent="0.3">
      <c r="E36" s="761" t="s">
        <v>7</v>
      </c>
      <c r="F36" s="762"/>
      <c r="G36" s="763"/>
    </row>
    <row r="37" spans="1:9" ht="15.75" thickBot="1" x14ac:dyDescent="0.3">
      <c r="E37" s="167" t="s">
        <v>3</v>
      </c>
      <c r="F37" s="168" t="s">
        <v>4</v>
      </c>
      <c r="G37" s="30" t="s">
        <v>213</v>
      </c>
    </row>
    <row r="38" spans="1:9" ht="15.75" thickBot="1" x14ac:dyDescent="0.3">
      <c r="E38" s="28">
        <f>E23</f>
        <v>13352714768.73</v>
      </c>
      <c r="F38" s="169">
        <f>F23</f>
        <v>8043101211.1499996</v>
      </c>
      <c r="G38" s="29">
        <f>F38/E38</f>
        <v>0.60235700009002691</v>
      </c>
    </row>
  </sheetData>
  <mergeCells count="3">
    <mergeCell ref="B1:G1"/>
    <mergeCell ref="E36:G36"/>
    <mergeCell ref="E29:G29"/>
  </mergeCells>
  <conditionalFormatting sqref="D3:D25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2 G14:G25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60" zoomScaleNormal="56" workbookViewId="0">
      <selection sqref="A1:F10"/>
    </sheetView>
  </sheetViews>
  <sheetFormatPr baseColWidth="10" defaultRowHeight="15" x14ac:dyDescent="0.25"/>
  <cols>
    <col min="1" max="1" width="37.42578125" customWidth="1"/>
    <col min="2" max="2" width="32.85546875" customWidth="1"/>
    <col min="3" max="3" width="32.140625" customWidth="1"/>
    <col min="4" max="4" width="37.85546875" customWidth="1"/>
    <col min="5" max="5" width="28.7109375" customWidth="1"/>
    <col min="6" max="6" width="37" customWidth="1"/>
  </cols>
  <sheetData>
    <row r="1" spans="1:6" ht="124.5" customHeight="1" thickBot="1" x14ac:dyDescent="0.3">
      <c r="A1" s="746" t="s">
        <v>317</v>
      </c>
      <c r="B1" s="747"/>
      <c r="C1" s="747"/>
      <c r="D1" s="747"/>
      <c r="E1" s="747"/>
      <c r="F1" s="748"/>
    </row>
    <row r="2" spans="1:6" ht="60.75" thickBot="1" x14ac:dyDescent="0.3">
      <c r="A2" s="139" t="str">
        <f>' CONSOLIDADO GENERAL'!B2</f>
        <v>DEPENDENCIA y/O ENTIDAD</v>
      </c>
      <c r="B2" s="140" t="str">
        <f>' CONSOLIDADO GENERAL'!C2</f>
        <v>Número de Actividades Metas  producto  del proyecto a la fecha de corte</v>
      </c>
      <c r="C2" s="140" t="str">
        <f>' CONSOLIDADO GENERAL'!D2</f>
        <v>Promedio de avance de la meta del indicador de producto del proyecto a la fecha de corte</v>
      </c>
      <c r="D2" s="141" t="str">
        <f>' CONSOLIDADO GENERAL'!E2</f>
        <v>Recursos asignados, en pesos en el momento presupuestal
 (Apropiación Definitiva)</v>
      </c>
      <c r="E2" s="142" t="str">
        <f>' CONSOLIDADO GENERAL'!F2</f>
        <v>Recursos ejecutados en pesos en el momento presupuestal 
(Reg. Presupuestal)</v>
      </c>
      <c r="F2" s="143" t="str">
        <f>' CONSOLIDADO GENERAL'!G2</f>
        <v>% ejecución presupuestal a la fecha de corte</v>
      </c>
    </row>
    <row r="3" spans="1:6" ht="30.75" thickBot="1" x14ac:dyDescent="0.3">
      <c r="A3" s="85" t="str">
        <f>' CONSOLIDADO GENERAL'!B19</f>
        <v>4.1 FONDO MUNICIPAL DE VIVIENDA FOMVIVIENDA</v>
      </c>
      <c r="B3" s="82">
        <f>' CONSOLIDADO GENERAL'!C19</f>
        <v>11</v>
      </c>
      <c r="C3" s="216">
        <f>' CONSOLIDADO GENERAL'!D19</f>
        <v>0.9814666666666666</v>
      </c>
      <c r="D3" s="217">
        <f>' CONSOLIDADO GENERAL'!E19</f>
        <v>755907048</v>
      </c>
      <c r="E3" s="217">
        <f>' CONSOLIDADO GENERAL'!F19</f>
        <v>752529584</v>
      </c>
      <c r="F3" s="218">
        <f>' CONSOLIDADO GENERAL'!G19</f>
        <v>0.99553190566361804</v>
      </c>
    </row>
    <row r="4" spans="1:6" ht="30.75" thickBot="1" x14ac:dyDescent="0.3">
      <c r="A4" s="65" t="str">
        <f>' CONSOLIDADO GENERAL'!B20</f>
        <v>4.2 EMPRESA DE DESARROLLO URBANO EDUA</v>
      </c>
      <c r="B4" s="81">
        <f>' CONSOLIDADO GENERAL'!C20</f>
        <v>2</v>
      </c>
      <c r="C4" s="216">
        <f>' CONSOLIDADO GENERAL'!D20</f>
        <v>0.97499999999999998</v>
      </c>
      <c r="D4" s="220">
        <f>' CONSOLIDADO GENERAL'!E20</f>
        <v>1177543627</v>
      </c>
      <c r="E4" s="220">
        <f>' CONSOLIDADO GENERAL'!F20</f>
        <v>1031397575</v>
      </c>
      <c r="F4" s="221">
        <f>' CONSOLIDADO GENERAL'!G20</f>
        <v>0.87588905527659067</v>
      </c>
    </row>
    <row r="5" spans="1:6" ht="30.75" thickBot="1" x14ac:dyDescent="0.3">
      <c r="A5" s="65" t="str">
        <f>' CONSOLIDADO GENERAL'!B21</f>
        <v>4.3 CORPORACION DE CULTURA Y TURISMO CORPOCULTURA</v>
      </c>
      <c r="B5" s="81">
        <f>' CONSOLIDADO GENERAL'!C21</f>
        <v>23</v>
      </c>
      <c r="C5" s="216">
        <f>' CONSOLIDADO GENERAL'!D21</f>
        <v>0.78592464094319536</v>
      </c>
      <c r="D5" s="220">
        <f>' CONSOLIDADO GENERAL'!E21</f>
        <v>3202019203.5599999</v>
      </c>
      <c r="E5" s="220">
        <f>' CONSOLIDADO GENERAL'!F21</f>
        <v>2330594999</v>
      </c>
      <c r="F5" s="221">
        <f>' CONSOLIDADO GENERAL'!G21</f>
        <v>0.72785166197905626</v>
      </c>
    </row>
    <row r="6" spans="1:6" ht="30.75" thickBot="1" x14ac:dyDescent="0.3">
      <c r="A6" s="65" t="str">
        <f>' CONSOLIDADO GENERAL'!B22</f>
        <v>4.4 INSTITUTO MUNICIPAL DE DEPORTE IMDERA</v>
      </c>
      <c r="B6" s="81">
        <f>' CONSOLIDADO GENERAL'!C22</f>
        <v>11</v>
      </c>
      <c r="C6" s="216">
        <f>' CONSOLIDADO GENERAL'!D22</f>
        <v>0.8</v>
      </c>
      <c r="D6" s="220">
        <f>' CONSOLIDADO GENERAL'!E22</f>
        <v>3457796607</v>
      </c>
      <c r="E6" s="220">
        <f>' CONSOLIDADO GENERAL'!F22</f>
        <v>3388230049</v>
      </c>
      <c r="F6" s="221">
        <f>' CONSOLIDADO GENERAL'!G22</f>
        <v>0.97988124638124496</v>
      </c>
    </row>
    <row r="7" spans="1:6" ht="30.75" thickBot="1" x14ac:dyDescent="0.3">
      <c r="A7" s="65" t="str">
        <f>' CONSOLIDADO GENERAL'!B23</f>
        <v>4.5 EMPRESAS PUBLICAS DE ARMENIA-EPA</v>
      </c>
      <c r="B7" s="81">
        <f>' CONSOLIDADO GENERAL'!C23</f>
        <v>138</v>
      </c>
      <c r="C7" s="216">
        <f>' CONSOLIDADO GENERAL'!D23</f>
        <v>0.94206140350877188</v>
      </c>
      <c r="D7" s="220">
        <f>' CONSOLIDADO GENERAL'!E23</f>
        <v>31247945167.130001</v>
      </c>
      <c r="E7" s="220">
        <f>' CONSOLIDADO GENERAL'!F23</f>
        <v>29508866411.93</v>
      </c>
      <c r="F7" s="221">
        <f>' CONSOLIDADO GENERAL'!G23</f>
        <v>0.94434582031239123</v>
      </c>
    </row>
    <row r="8" spans="1:6" ht="15.75" thickBot="1" x14ac:dyDescent="0.3">
      <c r="A8" s="65" t="str">
        <f>' CONSOLIDADO GENERAL'!B24</f>
        <v>4.6 AMABLE E.I.C.E</v>
      </c>
      <c r="B8" s="81">
        <f>' CONSOLIDADO GENERAL'!C24</f>
        <v>9</v>
      </c>
      <c r="C8" s="216">
        <f>' CONSOLIDADO GENERAL'!D24</f>
        <v>0.66717948717948716</v>
      </c>
      <c r="D8" s="220">
        <f>' CONSOLIDADO GENERAL'!E24</f>
        <v>41958153041.199997</v>
      </c>
      <c r="E8" s="220">
        <f>' CONSOLIDADO GENERAL'!F24</f>
        <v>14005264261.940001</v>
      </c>
      <c r="F8" s="221">
        <f>' CONSOLIDADO GENERAL'!G24</f>
        <v>0.33379124786993847</v>
      </c>
    </row>
    <row r="9" spans="1:6" x14ac:dyDescent="0.25">
      <c r="A9" s="65" t="str">
        <f>' CONSOLIDADO GENERAL'!B25</f>
        <v>4.7.REDSALUD</v>
      </c>
      <c r="B9" s="81">
        <f>' CONSOLIDADO GENERAL'!C25</f>
        <v>1</v>
      </c>
      <c r="C9" s="216">
        <f>' CONSOLIDADO GENERAL'!D25</f>
        <v>1</v>
      </c>
      <c r="D9" s="220" t="str">
        <f>' CONSOLIDADO GENERAL'!E25</f>
        <v>Recursos Gestionados</v>
      </c>
      <c r="E9" s="220">
        <f>' CONSOLIDADO GENERAL'!F25</f>
        <v>208096850</v>
      </c>
      <c r="F9" s="269">
        <f>' CONSOLIDADO GENERAL'!G25</f>
        <v>1</v>
      </c>
    </row>
    <row r="10" spans="1:6" x14ac:dyDescent="0.25">
      <c r="A10" s="65" t="str">
        <f>' CONSOLIDADO GENERAL'!B26</f>
        <v>TOTAL EJECUCIÓN</v>
      </c>
      <c r="B10" s="81">
        <f>SUM(B3:B9)</f>
        <v>195</v>
      </c>
      <c r="C10" s="219">
        <f>SUM(C3:C9)/7</f>
        <v>0.87880459975687442</v>
      </c>
      <c r="D10" s="220">
        <f>SUM(D3:D9)</f>
        <v>81799364693.889999</v>
      </c>
      <c r="E10" s="220">
        <f>SUM(E3:E9)</f>
        <v>51224979730.870003</v>
      </c>
      <c r="F10" s="221">
        <f>E10/D10</f>
        <v>0.62622710974057538</v>
      </c>
    </row>
    <row r="11" spans="1:6" hidden="1" x14ac:dyDescent="0.25">
      <c r="A11" s="270"/>
      <c r="B11" s="81"/>
      <c r="C11" s="219">
        <f>' CONSOLIDADO GENERAL'!D27</f>
        <v>1</v>
      </c>
      <c r="D11" s="220"/>
      <c r="E11" s="220"/>
      <c r="F11" s="271">
        <f>' CONSOLIDADO GENERAL'!G27</f>
        <v>1</v>
      </c>
    </row>
    <row r="12" spans="1:6" hidden="1" x14ac:dyDescent="0.25">
      <c r="A12" s="275"/>
      <c r="B12" s="276"/>
      <c r="C12" s="222">
        <f>' CONSOLIDADO GENERAL'!D28</f>
        <v>0</v>
      </c>
      <c r="D12" s="223"/>
      <c r="E12" s="223"/>
      <c r="F12" s="277">
        <f>' CONSOLIDADO GENERAL'!G28</f>
        <v>0</v>
      </c>
    </row>
  </sheetData>
  <mergeCells count="1">
    <mergeCell ref="A1:F1"/>
  </mergeCells>
  <conditionalFormatting sqref="C3:C12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4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38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7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C6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3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9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2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19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420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  <pageSetup paperSize="256" scale="44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6"/>
  <sheetViews>
    <sheetView view="pageBreakPreview" zoomScale="60" zoomScaleNormal="50" workbookViewId="0">
      <selection activeCell="D18" sqref="D18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2.7109375" style="3" customWidth="1"/>
    <col min="6" max="6" width="23.14062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58" t="s">
        <v>335</v>
      </c>
      <c r="C1" s="759"/>
      <c r="D1" s="759"/>
      <c r="E1" s="759"/>
      <c r="F1" s="759"/>
      <c r="G1" s="760"/>
    </row>
    <row r="2" spans="1:7" s="2" customFormat="1" ht="78.75" customHeight="1" thickBot="1" x14ac:dyDescent="0.3">
      <c r="B2" s="14" t="s">
        <v>1</v>
      </c>
      <c r="C2" s="170" t="s">
        <v>54</v>
      </c>
      <c r="D2" s="170" t="s">
        <v>62</v>
      </c>
      <c r="E2" s="171" t="s">
        <v>56</v>
      </c>
      <c r="F2" s="172" t="s">
        <v>57</v>
      </c>
      <c r="G2" s="173" t="s">
        <v>55</v>
      </c>
    </row>
    <row r="3" spans="1:7" s="2" customFormat="1" ht="45" customHeight="1" x14ac:dyDescent="0.25">
      <c r="A3" s="4">
        <v>1</v>
      </c>
      <c r="B3" s="370" t="s">
        <v>138</v>
      </c>
      <c r="C3" s="387">
        <v>2</v>
      </c>
      <c r="D3" s="392">
        <f>[16]CONSOLIDADO!K4</f>
        <v>1</v>
      </c>
      <c r="E3" s="393">
        <f>[16]CONSOLIDADO!L4</f>
        <v>298500000</v>
      </c>
      <c r="F3" s="393">
        <f>[16]CONSOLIDADO!M4</f>
        <v>293750000</v>
      </c>
      <c r="G3" s="559">
        <f>F3/E3</f>
        <v>0.98408710217755446</v>
      </c>
    </row>
    <row r="4" spans="1:7" s="2" customFormat="1" ht="36.75" customHeight="1" x14ac:dyDescent="0.25">
      <c r="A4" s="4">
        <v>2</v>
      </c>
      <c r="B4" s="372" t="s">
        <v>139</v>
      </c>
      <c r="C4" s="391">
        <v>3</v>
      </c>
      <c r="D4" s="392">
        <f>[16]CONSOLIDADO!K5</f>
        <v>1</v>
      </c>
      <c r="E4" s="393">
        <f>[16]CONSOLIDADO!L5</f>
        <v>216500000</v>
      </c>
      <c r="F4" s="393">
        <f>[16]CONSOLIDADO!M5</f>
        <v>209276667</v>
      </c>
      <c r="G4" s="463">
        <f>F4/E4</f>
        <v>0.96663587528868355</v>
      </c>
    </row>
    <row r="5" spans="1:7" s="2" customFormat="1" ht="36.75" customHeight="1" thickBot="1" x14ac:dyDescent="0.3">
      <c r="A5" s="4">
        <v>3</v>
      </c>
      <c r="B5" s="377" t="s">
        <v>140</v>
      </c>
      <c r="C5" s="446">
        <v>2</v>
      </c>
      <c r="D5" s="598">
        <f>[16]CONSOLIDADO!K6</f>
        <v>1</v>
      </c>
      <c r="E5" s="393">
        <f>[16]CONSOLIDADO!L6</f>
        <v>65000000</v>
      </c>
      <c r="F5" s="393">
        <f>[16]CONSOLIDADO!M6</f>
        <v>56456667</v>
      </c>
      <c r="G5" s="599">
        <f>F5/E5</f>
        <v>0.86856410769230774</v>
      </c>
    </row>
    <row r="6" spans="1:7" ht="21" customHeight="1" thickBot="1" x14ac:dyDescent="0.3">
      <c r="B6" s="321" t="s">
        <v>0</v>
      </c>
      <c r="C6" s="322">
        <f>SUM(C3:C5)</f>
        <v>7</v>
      </c>
      <c r="D6" s="323">
        <f>SUM(D3:D5)/3</f>
        <v>1</v>
      </c>
      <c r="E6" s="600">
        <f>SUM(E3:E5)</f>
        <v>580000000</v>
      </c>
      <c r="F6" s="600">
        <f>SUM(F3:F5)</f>
        <v>559483334</v>
      </c>
      <c r="G6" s="601">
        <f>F6/E6</f>
        <v>0.96462643793103453</v>
      </c>
    </row>
    <row r="7" spans="1:7" ht="15.95" hidden="1" customHeight="1" x14ac:dyDescent="0.25">
      <c r="B7" s="25"/>
      <c r="C7" s="265"/>
      <c r="D7" s="124">
        <v>1</v>
      </c>
      <c r="E7" s="31"/>
      <c r="F7" s="31"/>
      <c r="G7" s="108">
        <v>1</v>
      </c>
    </row>
    <row r="8" spans="1:7" ht="17.100000000000001" hidden="1" customHeight="1" x14ac:dyDescent="0.25">
      <c r="B8" s="25"/>
      <c r="C8" s="25"/>
      <c r="D8" s="124">
        <v>0</v>
      </c>
      <c r="E8" s="31"/>
      <c r="F8" s="31"/>
      <c r="G8" s="32">
        <v>0</v>
      </c>
    </row>
    <row r="9" spans="1:7" ht="6.75" customHeight="1" x14ac:dyDescent="0.25">
      <c r="B9" s="25"/>
      <c r="C9" s="25"/>
      <c r="D9" s="25"/>
      <c r="E9" s="31"/>
      <c r="F9" s="31"/>
      <c r="G9" s="32"/>
    </row>
    <row r="10" spans="1:7" ht="6.75" customHeight="1" thickBot="1" x14ac:dyDescent="0.3">
      <c r="B10" s="25"/>
      <c r="C10" s="25"/>
      <c r="D10" s="25"/>
      <c r="E10" s="31"/>
      <c r="F10" s="31"/>
      <c r="G10" s="32"/>
    </row>
    <row r="11" spans="1:7" ht="15.75" thickBot="1" x14ac:dyDescent="0.3">
      <c r="B11" s="15"/>
      <c r="C11" s="15"/>
      <c r="D11" s="15"/>
      <c r="E11" s="761" t="s">
        <v>16</v>
      </c>
      <c r="F11" s="762"/>
      <c r="G11" s="763"/>
    </row>
    <row r="12" spans="1:7" s="2" customFormat="1" ht="15.75" thickBot="1" x14ac:dyDescent="0.3">
      <c r="A12" s="1"/>
      <c r="B12" s="15"/>
      <c r="C12" s="15"/>
      <c r="D12" s="15"/>
      <c r="E12" s="136" t="s">
        <v>13</v>
      </c>
      <c r="F12" s="137" t="s">
        <v>14</v>
      </c>
      <c r="G12" s="138" t="s">
        <v>15</v>
      </c>
    </row>
    <row r="13" spans="1:7" s="2" customFormat="1" x14ac:dyDescent="0.25">
      <c r="A13" s="1"/>
      <c r="B13" s="15"/>
      <c r="C13" s="15"/>
      <c r="D13" s="15"/>
      <c r="E13" s="155" t="s">
        <v>345</v>
      </c>
      <c r="F13" s="156">
        <v>7</v>
      </c>
      <c r="G13" s="23">
        <f>F13/F16</f>
        <v>1</v>
      </c>
    </row>
    <row r="14" spans="1:7" s="2" customFormat="1" x14ac:dyDescent="0.25">
      <c r="A14" s="1"/>
      <c r="B14" s="15"/>
      <c r="C14" s="15"/>
      <c r="D14" s="15"/>
      <c r="E14" s="157" t="s">
        <v>346</v>
      </c>
      <c r="F14" s="158"/>
      <c r="G14" s="23">
        <f>F14/F16</f>
        <v>0</v>
      </c>
    </row>
    <row r="15" spans="1:7" ht="15.75" thickBot="1" x14ac:dyDescent="0.3">
      <c r="B15" s="15"/>
      <c r="C15" s="15"/>
      <c r="D15" s="15"/>
      <c r="E15" s="159" t="s">
        <v>344</v>
      </c>
      <c r="F15" s="160"/>
      <c r="G15" s="23">
        <f>F15/F16</f>
        <v>0</v>
      </c>
    </row>
    <row r="16" spans="1:7" ht="15.75" thickBot="1" x14ac:dyDescent="0.3">
      <c r="B16" s="15"/>
      <c r="C16" s="15"/>
      <c r="D16" s="15"/>
      <c r="E16" s="161" t="s">
        <v>17</v>
      </c>
      <c r="F16" s="162">
        <v>7</v>
      </c>
      <c r="G16" s="50"/>
    </row>
    <row r="17" spans="1:7" ht="15.75" thickBot="1" x14ac:dyDescent="0.3">
      <c r="B17" s="15"/>
      <c r="C17" s="15"/>
      <c r="D17" s="15"/>
      <c r="E17" s="196"/>
      <c r="F17" s="197"/>
      <c r="G17" s="33"/>
    </row>
    <row r="18" spans="1:7" ht="15.75" thickBot="1" x14ac:dyDescent="0.3">
      <c r="B18" s="15"/>
      <c r="C18" s="15"/>
      <c r="D18" s="15"/>
      <c r="E18" s="779" t="s">
        <v>8</v>
      </c>
      <c r="F18" s="780"/>
      <c r="G18" s="781"/>
    </row>
    <row r="19" spans="1:7" s="2" customFormat="1" ht="15.75" thickBot="1" x14ac:dyDescent="0.3">
      <c r="A19" s="1"/>
      <c r="B19" s="15"/>
      <c r="C19" s="15"/>
      <c r="D19" s="15"/>
      <c r="E19" s="136" t="s">
        <v>3</v>
      </c>
      <c r="F19" s="137" t="s">
        <v>4</v>
      </c>
      <c r="G19" s="30" t="s">
        <v>213</v>
      </c>
    </row>
    <row r="20" spans="1:7" s="2" customFormat="1" ht="15.75" thickBot="1" x14ac:dyDescent="0.3">
      <c r="A20" s="1"/>
      <c r="E20" s="198">
        <f>E6</f>
        <v>580000000</v>
      </c>
      <c r="F20" s="199">
        <f>F6</f>
        <v>559483334</v>
      </c>
      <c r="G20" s="29">
        <f>F20/E20</f>
        <v>0.96462643793103453</v>
      </c>
    </row>
    <row r="21" spans="1:7" s="2" customFormat="1" x14ac:dyDescent="0.25">
      <c r="A21" s="1"/>
      <c r="E21" s="3"/>
      <c r="F21" s="3"/>
    </row>
    <row r="22" spans="1:7" s="2" customFormat="1" x14ac:dyDescent="0.25">
      <c r="A22" s="1"/>
      <c r="E22" s="3"/>
      <c r="F22" s="3"/>
    </row>
    <row r="23" spans="1:7" s="2" customFormat="1" x14ac:dyDescent="0.25">
      <c r="A23" s="1"/>
      <c r="E23" s="3"/>
      <c r="F23" s="3"/>
    </row>
    <row r="24" spans="1:7" s="2" customFormat="1" x14ac:dyDescent="0.25">
      <c r="A24" s="1"/>
      <c r="E24" s="3"/>
      <c r="F24" s="3"/>
    </row>
    <row r="25" spans="1:7" s="2" customFormat="1" x14ac:dyDescent="0.25">
      <c r="A25" s="1"/>
      <c r="E25" s="3"/>
      <c r="F25" s="3"/>
    </row>
    <row r="26" spans="1:7" s="2" customFormat="1" x14ac:dyDescent="0.25">
      <c r="A26" s="1"/>
      <c r="E26" s="3"/>
      <c r="F26" s="3"/>
    </row>
    <row r="27" spans="1:7" s="2" customFormat="1" x14ac:dyDescent="0.25">
      <c r="A27" s="1"/>
      <c r="E27" s="3"/>
      <c r="F27" s="3"/>
    </row>
    <row r="28" spans="1:7" s="2" customFormat="1" x14ac:dyDescent="0.25">
      <c r="A28" s="1"/>
      <c r="E28" s="3"/>
      <c r="F28" s="3"/>
    </row>
    <row r="29" spans="1:7" s="2" customFormat="1" x14ac:dyDescent="0.25">
      <c r="A29" s="1"/>
      <c r="E29" s="3"/>
      <c r="F29" s="3"/>
    </row>
    <row r="30" spans="1:7" s="3" customFormat="1" x14ac:dyDescent="0.25">
      <c r="A30" s="1"/>
      <c r="G30" s="2"/>
    </row>
    <row r="31" spans="1:7" s="3" customFormat="1" x14ac:dyDescent="0.25">
      <c r="A31" s="1"/>
      <c r="G31" s="2"/>
    </row>
    <row r="32" spans="1:7" s="3" customFormat="1" x14ac:dyDescent="0.25">
      <c r="A32" s="1"/>
      <c r="G32" s="2"/>
    </row>
    <row r="33" spans="1:7" s="3" customFormat="1" x14ac:dyDescent="0.25">
      <c r="A33" s="1"/>
      <c r="G33" s="2"/>
    </row>
    <row r="34" spans="1:7" s="3" customFormat="1" x14ac:dyDescent="0.25">
      <c r="A34" s="1"/>
      <c r="G34" s="2"/>
    </row>
    <row r="35" spans="1:7" s="3" customFormat="1" x14ac:dyDescent="0.25">
      <c r="A35" s="1"/>
      <c r="G35" s="2"/>
    </row>
    <row r="36" spans="1:7" s="3" customFormat="1" x14ac:dyDescent="0.25">
      <c r="A36" s="1"/>
      <c r="G36" s="2"/>
    </row>
  </sheetData>
  <mergeCells count="3">
    <mergeCell ref="B1:G1"/>
    <mergeCell ref="E18:G18"/>
    <mergeCell ref="E11:G11"/>
  </mergeCells>
  <conditionalFormatting sqref="D6:D7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:D8"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5"/>
  <sheetViews>
    <sheetView view="pageBreakPreview" topLeftCell="B1" zoomScale="60" zoomScaleNormal="41" workbookViewId="0">
      <selection activeCell="F11" sqref="F11"/>
    </sheetView>
  </sheetViews>
  <sheetFormatPr baseColWidth="10" defaultColWidth="11.42578125" defaultRowHeight="15" x14ac:dyDescent="0.25"/>
  <cols>
    <col min="1" max="1" width="3" style="1" bestFit="1" customWidth="1"/>
    <col min="2" max="2" width="62.42578125" style="1" customWidth="1"/>
    <col min="3" max="4" width="20.5703125" style="1" customWidth="1"/>
    <col min="5" max="5" width="24.42578125" style="3" customWidth="1"/>
    <col min="6" max="6" width="23.85546875" style="3" customWidth="1"/>
    <col min="7" max="7" width="20.57031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58" t="s">
        <v>336</v>
      </c>
      <c r="C1" s="759"/>
      <c r="D1" s="759"/>
      <c r="E1" s="759"/>
      <c r="F1" s="759"/>
      <c r="G1" s="760"/>
    </row>
    <row r="2" spans="1:7" s="2" customFormat="1" ht="87" customHeight="1" thickBot="1" x14ac:dyDescent="0.3">
      <c r="B2" s="14" t="s">
        <v>1</v>
      </c>
      <c r="C2" s="170" t="s">
        <v>54</v>
      </c>
      <c r="D2" s="170" t="s">
        <v>62</v>
      </c>
      <c r="E2" s="171" t="s">
        <v>56</v>
      </c>
      <c r="F2" s="172" t="s">
        <v>57</v>
      </c>
      <c r="G2" s="173" t="s">
        <v>55</v>
      </c>
    </row>
    <row r="3" spans="1:7" s="2" customFormat="1" ht="81" customHeight="1" thickBot="1" x14ac:dyDescent="0.3">
      <c r="A3" s="4">
        <v>1</v>
      </c>
      <c r="B3" s="602" t="s">
        <v>163</v>
      </c>
      <c r="C3" s="603">
        <f>[17]CONSOLIDADO!B14</f>
        <v>7</v>
      </c>
      <c r="D3" s="604">
        <v>1</v>
      </c>
      <c r="E3" s="605">
        <f>[18]CONSOLIDADO!D3</f>
        <v>639495000</v>
      </c>
      <c r="F3" s="606">
        <f>[18]CONSOLIDADO!E3</f>
        <v>620218446</v>
      </c>
      <c r="G3" s="607">
        <f>F3/E3</f>
        <v>0.96985659934792301</v>
      </c>
    </row>
    <row r="4" spans="1:7" s="2" customFormat="1" ht="36.75" customHeight="1" thickBot="1" x14ac:dyDescent="0.3">
      <c r="A4" s="4"/>
      <c r="B4" s="471" t="s">
        <v>0</v>
      </c>
      <c r="C4" s="516">
        <v>7</v>
      </c>
      <c r="D4" s="517">
        <f>D3</f>
        <v>1</v>
      </c>
      <c r="E4" s="608">
        <f>SUM(E3:E3)</f>
        <v>639495000</v>
      </c>
      <c r="F4" s="608">
        <f>SUM(F3:F3)</f>
        <v>620218446</v>
      </c>
      <c r="G4" s="601">
        <f>F4/E4</f>
        <v>0.96985659934792301</v>
      </c>
    </row>
    <row r="5" spans="1:7" s="2" customFormat="1" ht="18.95" hidden="1" customHeight="1" x14ac:dyDescent="0.25">
      <c r="A5" s="4"/>
      <c r="B5" s="98"/>
      <c r="C5" s="99"/>
      <c r="D5" s="107">
        <v>1</v>
      </c>
      <c r="E5" s="119"/>
      <c r="F5" s="119"/>
      <c r="G5" s="107">
        <v>1</v>
      </c>
    </row>
    <row r="6" spans="1:7" s="2" customFormat="1" ht="33" hidden="1" customHeight="1" x14ac:dyDescent="0.25">
      <c r="A6" s="4"/>
      <c r="B6" s="25"/>
      <c r="C6" s="25"/>
      <c r="D6" s="107">
        <v>0</v>
      </c>
      <c r="E6" s="31"/>
      <c r="F6" s="31"/>
      <c r="G6" s="224">
        <v>0</v>
      </c>
    </row>
    <row r="7" spans="1:7" ht="17.100000000000001" customHeight="1" thickBot="1" x14ac:dyDescent="0.3">
      <c r="B7" s="25"/>
      <c r="C7" s="25"/>
      <c r="D7" s="25"/>
      <c r="E7" s="31"/>
      <c r="F7" s="31"/>
      <c r="G7" s="32"/>
    </row>
    <row r="8" spans="1:7" ht="17.100000000000001" customHeight="1" thickBot="1" x14ac:dyDescent="0.3">
      <c r="B8" s="15"/>
      <c r="C8" s="15"/>
      <c r="D8" s="15"/>
      <c r="E8" s="761" t="s">
        <v>16</v>
      </c>
      <c r="F8" s="762"/>
      <c r="G8" s="763"/>
    </row>
    <row r="9" spans="1:7" ht="17.100000000000001" customHeight="1" thickBot="1" x14ac:dyDescent="0.3">
      <c r="B9" s="15"/>
      <c r="C9" s="15"/>
      <c r="D9" s="15"/>
      <c r="E9" s="136" t="s">
        <v>13</v>
      </c>
      <c r="F9" s="137" t="s">
        <v>14</v>
      </c>
      <c r="G9" s="138" t="s">
        <v>15</v>
      </c>
    </row>
    <row r="10" spans="1:7" x14ac:dyDescent="0.25">
      <c r="B10" s="15"/>
      <c r="C10" s="15"/>
      <c r="D10" s="15"/>
      <c r="E10" s="155" t="s">
        <v>345</v>
      </c>
      <c r="F10" s="156">
        <v>7</v>
      </c>
      <c r="G10" s="23">
        <f>F10/F13</f>
        <v>1</v>
      </c>
    </row>
    <row r="11" spans="1:7" s="2" customFormat="1" x14ac:dyDescent="0.25">
      <c r="A11" s="1"/>
      <c r="B11" s="15"/>
      <c r="C11" s="15"/>
      <c r="D11" s="15"/>
      <c r="E11" s="157" t="s">
        <v>346</v>
      </c>
      <c r="F11" s="158"/>
      <c r="G11" s="23">
        <f>F11/F13</f>
        <v>0</v>
      </c>
    </row>
    <row r="12" spans="1:7" s="2" customFormat="1" ht="15.75" thickBot="1" x14ac:dyDescent="0.3">
      <c r="A12" s="1"/>
      <c r="B12" s="15"/>
      <c r="C12" s="15"/>
      <c r="D12" s="15"/>
      <c r="E12" s="159" t="s">
        <v>344</v>
      </c>
      <c r="F12" s="160"/>
      <c r="G12" s="23">
        <f>F12/F13</f>
        <v>0</v>
      </c>
    </row>
    <row r="13" spans="1:7" s="2" customFormat="1" ht="15.75" thickBot="1" x14ac:dyDescent="0.3">
      <c r="A13" s="1"/>
      <c r="B13" s="15"/>
      <c r="C13" s="15"/>
      <c r="D13" s="15"/>
      <c r="E13" s="161" t="s">
        <v>17</v>
      </c>
      <c r="F13" s="162">
        <f>SUM(F10:F12)</f>
        <v>7</v>
      </c>
      <c r="G13" s="50"/>
    </row>
    <row r="14" spans="1:7" ht="15.75" thickBot="1" x14ac:dyDescent="0.3">
      <c r="B14" s="15"/>
      <c r="C14" s="15"/>
      <c r="D14" s="15"/>
      <c r="E14" s="196"/>
      <c r="F14" s="197"/>
      <c r="G14" s="33"/>
    </row>
    <row r="15" spans="1:7" ht="15.75" thickBot="1" x14ac:dyDescent="0.3">
      <c r="B15" s="15"/>
      <c r="C15" s="15"/>
      <c r="D15" s="15"/>
      <c r="E15" s="779" t="s">
        <v>8</v>
      </c>
      <c r="F15" s="780"/>
      <c r="G15" s="781"/>
    </row>
    <row r="16" spans="1:7" ht="15.75" thickBot="1" x14ac:dyDescent="0.3">
      <c r="B16" s="15"/>
      <c r="C16" s="15"/>
      <c r="D16" s="15"/>
      <c r="E16" s="136" t="s">
        <v>3</v>
      </c>
      <c r="F16" s="137" t="s">
        <v>4</v>
      </c>
      <c r="G16" s="30" t="s">
        <v>213</v>
      </c>
    </row>
    <row r="17" spans="1:7" ht="15.75" thickBot="1" x14ac:dyDescent="0.3">
      <c r="B17" s="2"/>
      <c r="C17" s="2"/>
      <c r="D17" s="2"/>
      <c r="E17" s="198">
        <f>E4</f>
        <v>639495000</v>
      </c>
      <c r="F17" s="199">
        <f>F4</f>
        <v>620218446</v>
      </c>
      <c r="G17" s="29">
        <f>F17/E17</f>
        <v>0.96985659934792301</v>
      </c>
    </row>
    <row r="18" spans="1:7" s="2" customFormat="1" x14ac:dyDescent="0.25">
      <c r="A18" s="1"/>
      <c r="E18" s="3"/>
      <c r="F18" s="3"/>
    </row>
    <row r="19" spans="1:7" s="2" customFormat="1" x14ac:dyDescent="0.25">
      <c r="A19" s="1"/>
      <c r="E19" s="3"/>
      <c r="F19" s="3"/>
    </row>
    <row r="20" spans="1:7" s="2" customFormat="1" x14ac:dyDescent="0.25">
      <c r="A20" s="1"/>
      <c r="E20" s="3"/>
      <c r="F20" s="3"/>
    </row>
    <row r="21" spans="1:7" s="2" customFormat="1" x14ac:dyDescent="0.25">
      <c r="A21" s="1"/>
      <c r="E21" s="3"/>
      <c r="F21" s="3"/>
    </row>
    <row r="22" spans="1:7" s="2" customFormat="1" x14ac:dyDescent="0.25">
      <c r="A22" s="1"/>
      <c r="E22" s="3"/>
      <c r="F22" s="3"/>
    </row>
    <row r="23" spans="1:7" s="2" customFormat="1" x14ac:dyDescent="0.25">
      <c r="A23" s="1"/>
      <c r="E23" s="3"/>
      <c r="F23" s="3"/>
    </row>
    <row r="24" spans="1:7" s="2" customFormat="1" x14ac:dyDescent="0.25">
      <c r="A24" s="1"/>
      <c r="E24" s="3"/>
      <c r="F24" s="3"/>
    </row>
    <row r="25" spans="1:7" s="2" customFormat="1" x14ac:dyDescent="0.25">
      <c r="A25" s="1"/>
      <c r="E25" s="3"/>
      <c r="F25" s="3"/>
    </row>
    <row r="26" spans="1:7" s="2" customFormat="1" x14ac:dyDescent="0.25">
      <c r="A26" s="1"/>
      <c r="E26" s="3"/>
      <c r="F26" s="3"/>
    </row>
    <row r="27" spans="1:7" s="2" customFormat="1" x14ac:dyDescent="0.25">
      <c r="A27" s="1"/>
      <c r="B27" s="3"/>
      <c r="C27" s="3"/>
      <c r="D27" s="3"/>
      <c r="E27" s="3"/>
      <c r="F27" s="3"/>
    </row>
    <row r="28" spans="1:7" s="2" customFormat="1" x14ac:dyDescent="0.25">
      <c r="A28" s="1"/>
      <c r="B28" s="3"/>
      <c r="C28" s="3"/>
      <c r="D28" s="3"/>
      <c r="E28" s="3"/>
      <c r="F28" s="3"/>
    </row>
    <row r="29" spans="1:7" s="3" customFormat="1" x14ac:dyDescent="0.25">
      <c r="A29" s="1"/>
      <c r="G29" s="2"/>
    </row>
    <row r="30" spans="1:7" s="3" customFormat="1" x14ac:dyDescent="0.25">
      <c r="A30" s="1"/>
      <c r="G30" s="2"/>
    </row>
    <row r="31" spans="1:7" s="3" customFormat="1" x14ac:dyDescent="0.25">
      <c r="A31" s="1"/>
      <c r="G31" s="2"/>
    </row>
    <row r="32" spans="1:7" s="3" customFormat="1" x14ac:dyDescent="0.25">
      <c r="A32" s="1"/>
      <c r="G32" s="2"/>
    </row>
    <row r="33" spans="1:7" s="3" customFormat="1" x14ac:dyDescent="0.25">
      <c r="A33" s="1"/>
      <c r="G33" s="2"/>
    </row>
    <row r="34" spans="1:7" s="3" customFormat="1" x14ac:dyDescent="0.25">
      <c r="A34" s="1"/>
      <c r="B34" s="1"/>
      <c r="C34" s="1"/>
      <c r="D34" s="1"/>
      <c r="G34" s="2"/>
    </row>
    <row r="35" spans="1:7" s="3" customFormat="1" x14ac:dyDescent="0.25">
      <c r="A35" s="1"/>
      <c r="B35" s="1"/>
      <c r="C35" s="1"/>
      <c r="D35" s="1"/>
      <c r="G35" s="2"/>
    </row>
  </sheetData>
  <mergeCells count="3">
    <mergeCell ref="B1:G1"/>
    <mergeCell ref="E8:G8"/>
    <mergeCell ref="E15:G15"/>
  </mergeCells>
  <conditionalFormatting sqref="D3:D6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6"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">
    <cfRule type="colorScale" priority="2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">
    <cfRule type="colorScale" priority="29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5"/>
  <sheetViews>
    <sheetView view="pageBreakPreview" zoomScale="60" zoomScaleNormal="80" workbookViewId="0">
      <selection activeCell="C14" sqref="C14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5" width="22.42578125" style="3" customWidth="1"/>
    <col min="6" max="6" width="20.5703125" style="3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774" t="s">
        <v>337</v>
      </c>
      <c r="C1" s="775"/>
      <c r="D1" s="775"/>
      <c r="E1" s="775"/>
      <c r="F1" s="775"/>
      <c r="G1" s="782"/>
    </row>
    <row r="2" spans="1:7" s="2" customFormat="1" ht="78" customHeight="1" thickBot="1" x14ac:dyDescent="0.3">
      <c r="B2" s="14" t="s">
        <v>1</v>
      </c>
      <c r="C2" s="170" t="s">
        <v>54</v>
      </c>
      <c r="D2" s="170" t="s">
        <v>62</v>
      </c>
      <c r="E2" s="171" t="s">
        <v>56</v>
      </c>
      <c r="F2" s="172" t="s">
        <v>57</v>
      </c>
      <c r="G2" s="173" t="s">
        <v>55</v>
      </c>
    </row>
    <row r="3" spans="1:7" s="2" customFormat="1" ht="80.25" customHeight="1" x14ac:dyDescent="0.25">
      <c r="A3" s="4">
        <v>1</v>
      </c>
      <c r="B3" s="370" t="s">
        <v>164</v>
      </c>
      <c r="C3" s="387">
        <v>2</v>
      </c>
      <c r="D3" s="609">
        <f>[19]CONSOLIDADO!C21</f>
        <v>1</v>
      </c>
      <c r="E3" s="610">
        <f>[19]CONSOLIDADO!D21</f>
        <v>10000000</v>
      </c>
      <c r="F3" s="611">
        <f>[19]CONSOLIDADO!E21</f>
        <v>10000000</v>
      </c>
      <c r="G3" s="409">
        <f>F3/E3</f>
        <v>1</v>
      </c>
    </row>
    <row r="4" spans="1:7" s="2" customFormat="1" ht="81" customHeight="1" x14ac:dyDescent="0.25">
      <c r="A4" s="13">
        <v>2</v>
      </c>
      <c r="B4" s="372" t="s">
        <v>165</v>
      </c>
      <c r="C4" s="391">
        <v>6</v>
      </c>
      <c r="D4" s="609">
        <f>[19]CONSOLIDADO!C22</f>
        <v>0.94440000000000002</v>
      </c>
      <c r="E4" s="610">
        <f>[19]CONSOLIDADO!D22</f>
        <v>737053715</v>
      </c>
      <c r="F4" s="611">
        <f>[19]CONSOLIDADO!E22</f>
        <v>733676251</v>
      </c>
      <c r="G4" s="412">
        <f>F4/E4</f>
        <v>0.99541761484778624</v>
      </c>
    </row>
    <row r="5" spans="1:7" s="2" customFormat="1" ht="36.6" customHeight="1" thickBot="1" x14ac:dyDescent="0.3">
      <c r="A5" s="4">
        <v>3</v>
      </c>
      <c r="B5" s="377" t="s">
        <v>166</v>
      </c>
      <c r="C5" s="397">
        <v>3</v>
      </c>
      <c r="D5" s="609">
        <f>[19]CONSOLIDADO!C23</f>
        <v>1</v>
      </c>
      <c r="E5" s="610">
        <f>[19]CONSOLIDADO!D23</f>
        <v>8853333</v>
      </c>
      <c r="F5" s="610">
        <f>[19]CONSOLIDADO!E23</f>
        <v>8853333</v>
      </c>
      <c r="G5" s="420">
        <f>F5/E5</f>
        <v>1</v>
      </c>
    </row>
    <row r="6" spans="1:7" ht="30.75" customHeight="1" thickBot="1" x14ac:dyDescent="0.3">
      <c r="B6" s="471" t="s">
        <v>0</v>
      </c>
      <c r="C6" s="516">
        <f>SUM(C3:C5)</f>
        <v>11</v>
      </c>
      <c r="D6" s="517">
        <f>SUM(D3:D5)/3</f>
        <v>0.9814666666666666</v>
      </c>
      <c r="E6" s="324">
        <f>SUM(E3:E5)</f>
        <v>755907048</v>
      </c>
      <c r="F6" s="612">
        <f>SUM(F3:F5)</f>
        <v>752529584</v>
      </c>
      <c r="G6" s="325">
        <f>F6/E6</f>
        <v>0.99553190566361804</v>
      </c>
    </row>
    <row r="7" spans="1:7" ht="18" hidden="1" customHeight="1" x14ac:dyDescent="0.25">
      <c r="B7" s="91"/>
      <c r="C7" s="114"/>
      <c r="D7" s="124">
        <v>1</v>
      </c>
      <c r="E7" s="120"/>
      <c r="F7" s="120"/>
      <c r="G7" s="121">
        <v>1</v>
      </c>
    </row>
    <row r="8" spans="1:7" ht="18" hidden="1" customHeight="1" x14ac:dyDescent="0.25">
      <c r="B8" s="15"/>
      <c r="C8" s="15"/>
      <c r="D8" s="124">
        <v>0</v>
      </c>
      <c r="E8" s="16"/>
      <c r="F8" s="16"/>
      <c r="G8" s="121">
        <v>0</v>
      </c>
    </row>
    <row r="9" spans="1:7" s="2" customFormat="1" ht="18" customHeight="1" thickBot="1" x14ac:dyDescent="0.3">
      <c r="A9" s="1"/>
      <c r="E9" s="3"/>
      <c r="F9" s="3"/>
    </row>
    <row r="10" spans="1:7" s="2" customFormat="1" ht="18" customHeight="1" thickBot="1" x14ac:dyDescent="0.3">
      <c r="A10" s="1"/>
      <c r="E10" s="761" t="s">
        <v>16</v>
      </c>
      <c r="F10" s="762"/>
      <c r="G10" s="763"/>
    </row>
    <row r="11" spans="1:7" s="2" customFormat="1" ht="15.75" thickBot="1" x14ac:dyDescent="0.3">
      <c r="A11" s="1"/>
      <c r="E11" s="136" t="s">
        <v>13</v>
      </c>
      <c r="F11" s="137" t="s">
        <v>14</v>
      </c>
      <c r="G11" s="138" t="s">
        <v>15</v>
      </c>
    </row>
    <row r="12" spans="1:7" s="2" customFormat="1" x14ac:dyDescent="0.25">
      <c r="A12" s="1"/>
      <c r="E12" s="155" t="s">
        <v>345</v>
      </c>
      <c r="F12" s="156">
        <v>10</v>
      </c>
      <c r="G12" s="23">
        <f>F12/F15</f>
        <v>0.90909090909090906</v>
      </c>
    </row>
    <row r="13" spans="1:7" s="2" customFormat="1" x14ac:dyDescent="0.25">
      <c r="A13" s="1"/>
      <c r="E13" s="157" t="s">
        <v>348</v>
      </c>
      <c r="F13" s="158"/>
      <c r="G13" s="23">
        <f>F13/F15</f>
        <v>0</v>
      </c>
    </row>
    <row r="14" spans="1:7" s="2" customFormat="1" ht="15.75" thickBot="1" x14ac:dyDescent="0.3">
      <c r="A14" s="1"/>
      <c r="E14" s="159" t="s">
        <v>344</v>
      </c>
      <c r="F14" s="160">
        <v>1</v>
      </c>
      <c r="G14" s="23">
        <f>F14/F15</f>
        <v>9.0909090909090912E-2</v>
      </c>
    </row>
    <row r="15" spans="1:7" s="2" customFormat="1" ht="15.75" thickBot="1" x14ac:dyDescent="0.3">
      <c r="A15" s="1"/>
      <c r="E15" s="161" t="s">
        <v>17</v>
      </c>
      <c r="F15" s="162">
        <v>11</v>
      </c>
      <c r="G15" s="50"/>
    </row>
    <row r="16" spans="1:7" s="3" customFormat="1" ht="15.75" thickBot="1" x14ac:dyDescent="0.3">
      <c r="A16" s="1"/>
      <c r="E16" s="196"/>
      <c r="F16" s="197"/>
      <c r="G16" s="33"/>
    </row>
    <row r="17" spans="1:7" s="3" customFormat="1" ht="15.75" thickBot="1" x14ac:dyDescent="0.3">
      <c r="A17" s="1"/>
      <c r="E17" s="779" t="s">
        <v>28</v>
      </c>
      <c r="F17" s="780"/>
      <c r="G17" s="781"/>
    </row>
    <row r="18" spans="1:7" s="3" customFormat="1" ht="15.75" thickBot="1" x14ac:dyDescent="0.3">
      <c r="A18" s="1"/>
      <c r="E18" s="136" t="s">
        <v>3</v>
      </c>
      <c r="F18" s="137" t="s">
        <v>4</v>
      </c>
      <c r="G18" s="30" t="s">
        <v>213</v>
      </c>
    </row>
    <row r="19" spans="1:7" s="3" customFormat="1" ht="15.75" thickBot="1" x14ac:dyDescent="0.3">
      <c r="A19" s="1"/>
      <c r="E19" s="203">
        <f>E6</f>
        <v>755907048</v>
      </c>
      <c r="F19" s="204">
        <f>F6</f>
        <v>752529584</v>
      </c>
      <c r="G19" s="29">
        <f>F19/E19</f>
        <v>0.99553190566361804</v>
      </c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35" ht="20.25" customHeight="1" x14ac:dyDescent="0.25"/>
  </sheetData>
  <mergeCells count="3">
    <mergeCell ref="E10:G10"/>
    <mergeCell ref="E17:G17"/>
    <mergeCell ref="B1:G1"/>
  </mergeCells>
  <conditionalFormatting sqref="D6:D8"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">
      <colorScale>
        <cfvo type="formula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8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4"/>
  <sheetViews>
    <sheetView view="pageBreakPreview" zoomScale="60" zoomScaleNormal="57" workbookViewId="0">
      <selection activeCell="I15" sqref="I15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6" width="20.5703125" style="3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758" t="s">
        <v>338</v>
      </c>
      <c r="C1" s="759"/>
      <c r="D1" s="759"/>
      <c r="E1" s="759"/>
      <c r="F1" s="759"/>
      <c r="G1" s="760"/>
    </row>
    <row r="2" spans="1:7" s="2" customFormat="1" ht="78" customHeight="1" x14ac:dyDescent="0.25">
      <c r="B2" s="79" t="s">
        <v>1</v>
      </c>
      <c r="C2" s="144" t="s">
        <v>54</v>
      </c>
      <c r="D2" s="144" t="s">
        <v>62</v>
      </c>
      <c r="E2" s="145" t="s">
        <v>56</v>
      </c>
      <c r="F2" s="146" t="s">
        <v>57</v>
      </c>
      <c r="G2" s="147" t="s">
        <v>55</v>
      </c>
    </row>
    <row r="3" spans="1:7" s="2" customFormat="1" ht="39" customHeight="1" x14ac:dyDescent="0.25">
      <c r="A3" s="4">
        <v>1</v>
      </c>
      <c r="B3" s="437" t="s">
        <v>167</v>
      </c>
      <c r="C3" s="391">
        <v>1</v>
      </c>
      <c r="D3" s="392">
        <f>[20]SEG_PA_EDUA_3T_2021!S12</f>
        <v>1</v>
      </c>
      <c r="E3" s="731">
        <f>[21]SEG_PA_EDUA_4T_2021!V12</f>
        <v>495000000</v>
      </c>
      <c r="F3" s="731">
        <f>[21]SEG_PA_EDUA_4T_2021!W12</f>
        <v>419464621</v>
      </c>
      <c r="G3" s="466">
        <f>F3/E3</f>
        <v>0.84740327474747479</v>
      </c>
    </row>
    <row r="4" spans="1:7" s="2" customFormat="1" ht="34.5" customHeight="1" thickBot="1" x14ac:dyDescent="0.3">
      <c r="A4" s="4">
        <v>2</v>
      </c>
      <c r="B4" s="613" t="s">
        <v>51</v>
      </c>
      <c r="C4" s="391">
        <v>1</v>
      </c>
      <c r="D4" s="392">
        <v>0.95</v>
      </c>
      <c r="E4" s="614">
        <f>[21]SEG_PA_EDUA_4T_2021!V14</f>
        <v>682543627</v>
      </c>
      <c r="F4" s="614">
        <f>[21]SEG_PA_EDUA_4T_2021!W14</f>
        <v>611932954</v>
      </c>
      <c r="G4" s="380">
        <f>F4/E4</f>
        <v>0.89654775137179621</v>
      </c>
    </row>
    <row r="5" spans="1:7" ht="28.5" customHeight="1" thickBot="1" x14ac:dyDescent="0.3">
      <c r="B5" s="615" t="s">
        <v>0</v>
      </c>
      <c r="C5" s="616">
        <v>2</v>
      </c>
      <c r="D5" s="617">
        <f>SUM(D3:D4)/2</f>
        <v>0.97499999999999998</v>
      </c>
      <c r="E5" s="618">
        <f>SUM(E3:E4)</f>
        <v>1177543627</v>
      </c>
      <c r="F5" s="618">
        <f>SUM(F3:F4)</f>
        <v>1031397575</v>
      </c>
      <c r="G5" s="423">
        <f>F5/E5</f>
        <v>0.87588905527659067</v>
      </c>
    </row>
    <row r="6" spans="1:7" ht="15.75" hidden="1" customHeight="1" x14ac:dyDescent="0.25">
      <c r="B6" s="91"/>
      <c r="C6" s="114"/>
      <c r="D6" s="93">
        <v>1</v>
      </c>
      <c r="E6" s="122"/>
      <c r="F6" s="122"/>
      <c r="G6" s="121">
        <v>1</v>
      </c>
    </row>
    <row r="7" spans="1:7" s="2" customFormat="1" ht="15" hidden="1" customHeight="1" x14ac:dyDescent="0.25">
      <c r="A7" s="1"/>
      <c r="B7" s="15"/>
      <c r="C7" s="15"/>
      <c r="D7" s="93">
        <v>0</v>
      </c>
      <c r="E7" s="16"/>
      <c r="F7" s="16"/>
      <c r="G7" s="121">
        <v>0</v>
      </c>
    </row>
    <row r="8" spans="1:7" s="2" customFormat="1" ht="15.75" thickBot="1" x14ac:dyDescent="0.3">
      <c r="A8" s="1"/>
      <c r="E8" s="3"/>
      <c r="F8" s="3"/>
    </row>
    <row r="9" spans="1:7" s="2" customFormat="1" ht="15.75" thickBot="1" x14ac:dyDescent="0.3">
      <c r="A9" s="1"/>
      <c r="E9" s="761" t="s">
        <v>16</v>
      </c>
      <c r="F9" s="762"/>
      <c r="G9" s="763"/>
    </row>
    <row r="10" spans="1:7" s="2" customFormat="1" ht="15.75" thickBot="1" x14ac:dyDescent="0.3">
      <c r="A10" s="1"/>
      <c r="E10" s="136" t="s">
        <v>13</v>
      </c>
      <c r="F10" s="137" t="s">
        <v>14</v>
      </c>
      <c r="G10" s="138" t="s">
        <v>15</v>
      </c>
    </row>
    <row r="11" spans="1:7" s="2" customFormat="1" x14ac:dyDescent="0.25">
      <c r="A11" s="1"/>
      <c r="E11" s="155" t="s">
        <v>345</v>
      </c>
      <c r="F11" s="257">
        <v>2</v>
      </c>
      <c r="G11" s="23">
        <f>F11/F14</f>
        <v>1</v>
      </c>
    </row>
    <row r="12" spans="1:7" s="2" customFormat="1" x14ac:dyDescent="0.25">
      <c r="A12" s="1"/>
      <c r="E12" s="157" t="s">
        <v>346</v>
      </c>
      <c r="F12" s="256"/>
      <c r="G12" s="23">
        <f>F12/F14</f>
        <v>0</v>
      </c>
    </row>
    <row r="13" spans="1:7" s="2" customFormat="1" ht="15.75" thickBot="1" x14ac:dyDescent="0.3">
      <c r="A13" s="1"/>
      <c r="E13" s="159" t="s">
        <v>344</v>
      </c>
      <c r="F13" s="206"/>
      <c r="G13" s="23">
        <f>F13/F14</f>
        <v>0</v>
      </c>
    </row>
    <row r="14" spans="1:7" s="2" customFormat="1" ht="15.75" thickBot="1" x14ac:dyDescent="0.3">
      <c r="A14" s="1"/>
      <c r="E14" s="161" t="s">
        <v>17</v>
      </c>
      <c r="F14" s="162">
        <v>2</v>
      </c>
      <c r="G14" s="36"/>
    </row>
    <row r="15" spans="1:7" s="2" customFormat="1" ht="15.75" thickBot="1" x14ac:dyDescent="0.3">
      <c r="A15" s="1"/>
      <c r="E15" s="201"/>
      <c r="F15" s="197"/>
      <c r="G15" s="202"/>
    </row>
    <row r="16" spans="1:7" s="2" customFormat="1" ht="15.75" thickBot="1" x14ac:dyDescent="0.3">
      <c r="A16" s="1"/>
      <c r="E16" s="779" t="s">
        <v>29</v>
      </c>
      <c r="F16" s="780"/>
      <c r="G16" s="781"/>
    </row>
    <row r="17" spans="1:7" s="3" customFormat="1" ht="15.75" thickBot="1" x14ac:dyDescent="0.3">
      <c r="A17" s="1"/>
      <c r="B17" s="2"/>
      <c r="C17" s="2"/>
      <c r="D17" s="2"/>
      <c r="E17" s="136" t="s">
        <v>3</v>
      </c>
      <c r="F17" s="137" t="s">
        <v>4</v>
      </c>
      <c r="G17" s="30" t="s">
        <v>213</v>
      </c>
    </row>
    <row r="18" spans="1:7" s="3" customFormat="1" ht="15.75" thickBot="1" x14ac:dyDescent="0.3">
      <c r="A18" s="1"/>
      <c r="E18" s="205">
        <f>E5</f>
        <v>1177543627</v>
      </c>
      <c r="F18" s="205">
        <f>F5</f>
        <v>1031397575</v>
      </c>
      <c r="G18" s="200">
        <f>F18/E18</f>
        <v>0.87588905527659067</v>
      </c>
    </row>
    <row r="19" spans="1:7" s="3" customFormat="1" x14ac:dyDescent="0.25">
      <c r="A19" s="1"/>
      <c r="G19" s="2"/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s="3" customFormat="1" x14ac:dyDescent="0.25">
      <c r="A23" s="1"/>
      <c r="G23" s="2"/>
    </row>
    <row r="24" spans="1:7" x14ac:dyDescent="0.25">
      <c r="B24" s="3"/>
      <c r="C24" s="3"/>
      <c r="D24" s="3"/>
    </row>
  </sheetData>
  <mergeCells count="3">
    <mergeCell ref="B1:G1"/>
    <mergeCell ref="E9:G9"/>
    <mergeCell ref="E16:G16"/>
  </mergeCells>
  <conditionalFormatting sqref="D3:D7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7"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7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46"/>
  <sheetViews>
    <sheetView view="pageBreakPreview" topLeftCell="A4" zoomScale="60" zoomScaleNormal="80" workbookViewId="0">
      <selection activeCell="G26" sqref="G26"/>
    </sheetView>
  </sheetViews>
  <sheetFormatPr baseColWidth="10" defaultColWidth="11.42578125" defaultRowHeight="12.75" x14ac:dyDescent="0.2"/>
  <cols>
    <col min="1" max="1" width="3.7109375" style="15" bestFit="1" customWidth="1"/>
    <col min="2" max="2" width="60.5703125" style="15" customWidth="1"/>
    <col min="3" max="4" width="20.5703125" style="15" customWidth="1"/>
    <col min="5" max="6" width="29.28515625" style="16" customWidth="1"/>
    <col min="7" max="7" width="25.1406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69.75" customHeight="1" thickBot="1" x14ac:dyDescent="0.25">
      <c r="B1" s="758" t="s">
        <v>339</v>
      </c>
      <c r="C1" s="759"/>
      <c r="D1" s="759"/>
      <c r="E1" s="759"/>
      <c r="F1" s="759"/>
      <c r="G1" s="760"/>
    </row>
    <row r="2" spans="1:7" ht="102.75" customHeight="1" thickBot="1" x14ac:dyDescent="0.25">
      <c r="B2" s="79" t="s">
        <v>1</v>
      </c>
      <c r="C2" s="144" t="s">
        <v>54</v>
      </c>
      <c r="D2" s="144" t="s">
        <v>62</v>
      </c>
      <c r="E2" s="145" t="s">
        <v>56</v>
      </c>
      <c r="F2" s="146" t="s">
        <v>57</v>
      </c>
      <c r="G2" s="147" t="s">
        <v>55</v>
      </c>
    </row>
    <row r="3" spans="1:7" s="58" customFormat="1" ht="18" x14ac:dyDescent="0.25">
      <c r="A3" s="57">
        <v>1</v>
      </c>
      <c r="B3" s="549" t="s">
        <v>168</v>
      </c>
      <c r="C3" s="550">
        <v>1</v>
      </c>
      <c r="D3" s="726">
        <f>[22]CONSOLIDADO!D31</f>
        <v>1</v>
      </c>
      <c r="E3" s="619">
        <f>[22]CONSOLIDADO!E31</f>
        <v>9000000</v>
      </c>
      <c r="F3" s="533">
        <f>[22]CONSOLIDADO!F31</f>
        <v>9000000</v>
      </c>
      <c r="G3" s="551">
        <f t="shared" ref="G3:G11" si="0">F3/E3</f>
        <v>1</v>
      </c>
    </row>
    <row r="4" spans="1:7" s="58" customFormat="1" ht="18" x14ac:dyDescent="0.25">
      <c r="A4" s="57">
        <v>2</v>
      </c>
      <c r="B4" s="620" t="s">
        <v>168</v>
      </c>
      <c r="C4" s="621">
        <v>1</v>
      </c>
      <c r="D4" s="727">
        <f>[22]CONSOLIDADO!D32</f>
        <v>1</v>
      </c>
      <c r="E4" s="619">
        <f>[22]CONSOLIDADO!E32</f>
        <v>15000000</v>
      </c>
      <c r="F4" s="536">
        <f>[22]CONSOLIDADO!F32</f>
        <v>15000000</v>
      </c>
      <c r="G4" s="622">
        <f t="shared" si="0"/>
        <v>1</v>
      </c>
    </row>
    <row r="5" spans="1:7" s="58" customFormat="1" ht="18" x14ac:dyDescent="0.25">
      <c r="A5" s="57">
        <v>3</v>
      </c>
      <c r="B5" s="620" t="s">
        <v>168</v>
      </c>
      <c r="C5" s="621">
        <v>1</v>
      </c>
      <c r="D5" s="728">
        <f>[22]CONSOLIDADO!D33</f>
        <v>1</v>
      </c>
      <c r="E5" s="619">
        <f>[22]CONSOLIDADO!E33</f>
        <v>5000000</v>
      </c>
      <c r="F5" s="536">
        <f>[22]CONSOLIDADO!F33</f>
        <v>5000000</v>
      </c>
      <c r="G5" s="622">
        <f t="shared" si="0"/>
        <v>1</v>
      </c>
    </row>
    <row r="6" spans="1:7" s="58" customFormat="1" ht="18" x14ac:dyDescent="0.25">
      <c r="A6" s="57">
        <v>4</v>
      </c>
      <c r="B6" s="620" t="s">
        <v>169</v>
      </c>
      <c r="C6" s="621">
        <v>1</v>
      </c>
      <c r="D6" s="727">
        <f>[22]CONSOLIDADO!D34</f>
        <v>1</v>
      </c>
      <c r="E6" s="619">
        <f>[22]CONSOLIDADO!E34</f>
        <v>19200000</v>
      </c>
      <c r="F6" s="536">
        <f>[22]CONSOLIDADO!F34</f>
        <v>19200000</v>
      </c>
      <c r="G6" s="622">
        <f t="shared" si="0"/>
        <v>1</v>
      </c>
    </row>
    <row r="7" spans="1:7" s="58" customFormat="1" ht="18" x14ac:dyDescent="0.25">
      <c r="A7" s="57">
        <v>5</v>
      </c>
      <c r="B7" s="620" t="s">
        <v>169</v>
      </c>
      <c r="C7" s="621">
        <v>1</v>
      </c>
      <c r="D7" s="728">
        <f>[22]CONSOLIDADO!D35</f>
        <v>1</v>
      </c>
      <c r="E7" s="619">
        <f>[22]CONSOLIDADO!E35</f>
        <v>30000000</v>
      </c>
      <c r="F7" s="536">
        <f>[22]CONSOLIDADO!F35</f>
        <v>0</v>
      </c>
      <c r="G7" s="622">
        <f t="shared" si="0"/>
        <v>0</v>
      </c>
    </row>
    <row r="8" spans="1:7" s="58" customFormat="1" ht="18" x14ac:dyDescent="0.25">
      <c r="A8" s="57">
        <v>6</v>
      </c>
      <c r="B8" s="620" t="s">
        <v>169</v>
      </c>
      <c r="C8" s="621">
        <v>1</v>
      </c>
      <c r="D8" s="727">
        <f>[22]CONSOLIDADO!D36</f>
        <v>1</v>
      </c>
      <c r="E8" s="619">
        <f>[22]CONSOLIDADO!E36</f>
        <v>30000000</v>
      </c>
      <c r="F8" s="536">
        <f>[22]CONSOLIDADO!F36</f>
        <v>30000000</v>
      </c>
      <c r="G8" s="622">
        <f t="shared" si="0"/>
        <v>1</v>
      </c>
    </row>
    <row r="9" spans="1:7" s="58" customFormat="1" ht="18" x14ac:dyDescent="0.25">
      <c r="A9" s="57">
        <v>7</v>
      </c>
      <c r="B9" s="620" t="s">
        <v>170</v>
      </c>
      <c r="C9" s="621">
        <v>1</v>
      </c>
      <c r="D9" s="727">
        <f>[22]CONSOLIDADO!D37</f>
        <v>1</v>
      </c>
      <c r="E9" s="619">
        <f>[22]CONSOLIDADO!E37</f>
        <v>22729690.859999999</v>
      </c>
      <c r="F9" s="536">
        <f>[22]CONSOLIDADO!F37</f>
        <v>17000000</v>
      </c>
      <c r="G9" s="622">
        <f t="shared" si="0"/>
        <v>0.74792042288251348</v>
      </c>
    </row>
    <row r="10" spans="1:7" ht="18" x14ac:dyDescent="0.2">
      <c r="A10" s="58">
        <v>8</v>
      </c>
      <c r="B10" s="620" t="s">
        <v>170</v>
      </c>
      <c r="C10" s="621">
        <v>1</v>
      </c>
      <c r="D10" s="729">
        <f>[22]CONSOLIDADO!D38</f>
        <v>1</v>
      </c>
      <c r="E10" s="619">
        <f>[22]CONSOLIDADO!E38</f>
        <v>472519208.69999999</v>
      </c>
      <c r="F10" s="536">
        <f>[22]CONSOLIDADO!F38</f>
        <v>335845760</v>
      </c>
      <c r="G10" s="622">
        <f>F10/E10</f>
        <v>0.71075578265692629</v>
      </c>
    </row>
    <row r="11" spans="1:7" ht="16.5" customHeight="1" x14ac:dyDescent="0.2">
      <c r="A11" s="58">
        <v>9</v>
      </c>
      <c r="B11" s="620" t="s">
        <v>170</v>
      </c>
      <c r="C11" s="621">
        <v>1</v>
      </c>
      <c r="D11" s="728">
        <f>[22]CONSOLIDADO!D39</f>
        <v>0</v>
      </c>
      <c r="E11" s="619">
        <f>[22]CONSOLIDADO!E39</f>
        <v>10000000</v>
      </c>
      <c r="F11" s="536">
        <f>[22]CONSOLIDADO!F39</f>
        <v>0</v>
      </c>
      <c r="G11" s="622">
        <f t="shared" si="0"/>
        <v>0</v>
      </c>
    </row>
    <row r="12" spans="1:7" ht="17.100000000000001" customHeight="1" x14ac:dyDescent="0.2">
      <c r="A12" s="57">
        <v>10</v>
      </c>
      <c r="B12" s="620" t="s">
        <v>171</v>
      </c>
      <c r="C12" s="621">
        <v>1</v>
      </c>
      <c r="D12" s="727">
        <f>[22]CONSOLIDADO!D40</f>
        <v>1</v>
      </c>
      <c r="E12" s="619">
        <f>[22]CONSOLIDADO!E40</f>
        <v>0</v>
      </c>
      <c r="F12" s="536">
        <f>[22]CONSOLIDADO!F40</f>
        <v>0</v>
      </c>
      <c r="G12" s="622">
        <v>0</v>
      </c>
    </row>
    <row r="13" spans="1:7" ht="36" x14ac:dyDescent="0.2">
      <c r="A13" s="15">
        <v>11</v>
      </c>
      <c r="B13" s="620" t="s">
        <v>171</v>
      </c>
      <c r="C13" s="621">
        <v>1</v>
      </c>
      <c r="D13" s="727">
        <f>[22]CONSOLIDADO!D41</f>
        <v>1</v>
      </c>
      <c r="E13" s="619">
        <f>[22]CONSOLIDADO!E41</f>
        <v>0</v>
      </c>
      <c r="F13" s="536">
        <f>[22]CONSOLIDADO!F41</f>
        <v>0</v>
      </c>
      <c r="G13" s="622">
        <v>0</v>
      </c>
    </row>
    <row r="14" spans="1:7" ht="25.5" customHeight="1" x14ac:dyDescent="0.2">
      <c r="A14" s="15">
        <v>12</v>
      </c>
      <c r="B14" s="620" t="s">
        <v>171</v>
      </c>
      <c r="C14" s="621">
        <v>1</v>
      </c>
      <c r="D14" s="728">
        <f>[22]CONSOLIDADO!D42</f>
        <v>0</v>
      </c>
      <c r="E14" s="619">
        <f>[22]CONSOLIDADO!E42</f>
        <v>0</v>
      </c>
      <c r="F14" s="536">
        <f>[22]CONSOLIDADO!F42</f>
        <v>0</v>
      </c>
      <c r="G14" s="622">
        <v>0</v>
      </c>
    </row>
    <row r="15" spans="1:7" ht="36" x14ac:dyDescent="0.2">
      <c r="A15" s="15">
        <v>13</v>
      </c>
      <c r="B15" s="620" t="s">
        <v>171</v>
      </c>
      <c r="C15" s="621">
        <v>1</v>
      </c>
      <c r="D15" s="728">
        <f>[22]CONSOLIDADO!D43</f>
        <v>0</v>
      </c>
      <c r="E15" s="619">
        <f>[22]CONSOLIDADO!E43</f>
        <v>0</v>
      </c>
      <c r="F15" s="536">
        <f>[22]CONSOLIDADO!F43</f>
        <v>0</v>
      </c>
      <c r="G15" s="622">
        <v>0</v>
      </c>
    </row>
    <row r="16" spans="1:7" ht="18" x14ac:dyDescent="0.2">
      <c r="A16" s="15">
        <v>14</v>
      </c>
      <c r="B16" s="620" t="s">
        <v>172</v>
      </c>
      <c r="C16" s="621">
        <v>1</v>
      </c>
      <c r="D16" s="727">
        <f>[22]CONSOLIDADO!D44</f>
        <v>1</v>
      </c>
      <c r="E16" s="619">
        <f>[22]CONSOLIDADO!E44</f>
        <v>788300000</v>
      </c>
      <c r="F16" s="536">
        <f>[22]CONSOLIDADO!F44</f>
        <v>788299999</v>
      </c>
      <c r="G16" s="622">
        <f>F16/E16</f>
        <v>0.9999999987314474</v>
      </c>
    </row>
    <row r="17" spans="1:7" ht="18" x14ac:dyDescent="0.2">
      <c r="A17" s="15">
        <v>15</v>
      </c>
      <c r="B17" s="620" t="s">
        <v>172</v>
      </c>
      <c r="C17" s="621">
        <v>1</v>
      </c>
      <c r="D17" s="728">
        <f>[22]CONSOLIDADO!D45</f>
        <v>0</v>
      </c>
      <c r="E17" s="619">
        <f>[22]CONSOLIDADO!E45</f>
        <v>0</v>
      </c>
      <c r="F17" s="536">
        <f>[22]CONSOLIDADO!F45</f>
        <v>0</v>
      </c>
      <c r="G17" s="622">
        <v>0</v>
      </c>
    </row>
    <row r="18" spans="1:7" ht="18" x14ac:dyDescent="0.2">
      <c r="A18" s="15">
        <v>16</v>
      </c>
      <c r="B18" s="620" t="s">
        <v>172</v>
      </c>
      <c r="C18" s="621">
        <v>1</v>
      </c>
      <c r="D18" s="727">
        <f>[22]CONSOLIDADO!D46</f>
        <v>1</v>
      </c>
      <c r="E18" s="619">
        <f>[22]CONSOLIDADO!E46</f>
        <v>23500000</v>
      </c>
      <c r="F18" s="536">
        <f>[22]CONSOLIDADO!F46</f>
        <v>23500000</v>
      </c>
      <c r="G18" s="622">
        <f t="shared" ref="G18:G25" si="1">F18/E18</f>
        <v>1</v>
      </c>
    </row>
    <row r="19" spans="1:7" ht="18" x14ac:dyDescent="0.2">
      <c r="A19" s="15">
        <v>17</v>
      </c>
      <c r="B19" s="620" t="s">
        <v>172</v>
      </c>
      <c r="C19" s="621">
        <v>1</v>
      </c>
      <c r="D19" s="728">
        <f>[22]CONSOLIDADO!D47</f>
        <v>0.4762667416934942</v>
      </c>
      <c r="E19" s="619">
        <f>[22]CONSOLIDADO!E47</f>
        <v>667679393</v>
      </c>
      <c r="F19" s="536">
        <f>[22]CONSOLIDADO!F47</f>
        <v>77600000</v>
      </c>
      <c r="G19" s="622">
        <f t="shared" si="1"/>
        <v>0.11622344618324922</v>
      </c>
    </row>
    <row r="20" spans="1:7" ht="18" x14ac:dyDescent="0.2">
      <c r="A20" s="15">
        <v>19</v>
      </c>
      <c r="B20" s="620" t="s">
        <v>173</v>
      </c>
      <c r="C20" s="621">
        <v>1</v>
      </c>
      <c r="D20" s="727">
        <f>[22]CONSOLIDADO!D48</f>
        <v>1</v>
      </c>
      <c r="E20" s="619">
        <f>[22]CONSOLIDADO!E48</f>
        <v>0</v>
      </c>
      <c r="F20" s="536">
        <f>[22]CONSOLIDADO!F48</f>
        <v>0</v>
      </c>
      <c r="G20" s="622">
        <v>0</v>
      </c>
    </row>
    <row r="21" spans="1:7" ht="18" x14ac:dyDescent="0.2">
      <c r="A21" s="15">
        <v>19</v>
      </c>
      <c r="B21" s="620" t="s">
        <v>173</v>
      </c>
      <c r="C21" s="621">
        <v>1</v>
      </c>
      <c r="D21" s="728">
        <f>[22]CONSOLIDADO!D49</f>
        <v>0.6</v>
      </c>
      <c r="E21" s="619">
        <f>[22]CONSOLIDADO!E49</f>
        <v>43656286</v>
      </c>
      <c r="F21" s="536">
        <f>[22]CONSOLIDADO!F49</f>
        <v>21000000</v>
      </c>
      <c r="G21" s="622">
        <f t="shared" si="1"/>
        <v>0.48103038357408601</v>
      </c>
    </row>
    <row r="22" spans="1:7" ht="18" x14ac:dyDescent="0.2">
      <c r="A22" s="15">
        <v>20</v>
      </c>
      <c r="B22" s="620" t="s">
        <v>173</v>
      </c>
      <c r="C22" s="621">
        <v>1</v>
      </c>
      <c r="D22" s="728">
        <f>[22]CONSOLIDADO!D50</f>
        <v>1</v>
      </c>
      <c r="E22" s="619">
        <f>[22]CONSOLIDADO!E50</f>
        <v>116789040</v>
      </c>
      <c r="F22" s="536">
        <f>[22]CONSOLIDADO!F50</f>
        <v>46000000</v>
      </c>
      <c r="G22" s="622">
        <f t="shared" si="1"/>
        <v>0.39387257571429646</v>
      </c>
    </row>
    <row r="23" spans="1:7" ht="18" x14ac:dyDescent="0.2">
      <c r="A23" s="15">
        <v>21</v>
      </c>
      <c r="B23" s="620" t="s">
        <v>174</v>
      </c>
      <c r="C23" s="621">
        <v>1</v>
      </c>
      <c r="D23" s="727">
        <f>[22]CONSOLIDADO!D51</f>
        <v>1</v>
      </c>
      <c r="E23" s="619">
        <f>[22]CONSOLIDADO!E51</f>
        <v>39600000</v>
      </c>
      <c r="F23" s="536">
        <f>[22]CONSOLIDADO!F51</f>
        <v>39600000</v>
      </c>
      <c r="G23" s="622">
        <f t="shared" si="1"/>
        <v>1</v>
      </c>
    </row>
    <row r="24" spans="1:7" ht="18" x14ac:dyDescent="0.2">
      <c r="A24" s="15">
        <v>22</v>
      </c>
      <c r="B24" s="620" t="s">
        <v>174</v>
      </c>
      <c r="C24" s="621">
        <v>1</v>
      </c>
      <c r="D24" s="728">
        <f>[22]CONSOLIDADO!D52</f>
        <v>1</v>
      </c>
      <c r="E24" s="619">
        <f>[22]CONSOLIDADO!E52</f>
        <v>71140000</v>
      </c>
      <c r="F24" s="536">
        <f>[22]CONSOLIDADO!F52</f>
        <v>71140000</v>
      </c>
      <c r="G24" s="622">
        <f t="shared" si="1"/>
        <v>1</v>
      </c>
    </row>
    <row r="25" spans="1:7" ht="18.75" thickBot="1" x14ac:dyDescent="0.25">
      <c r="A25" s="258">
        <v>23</v>
      </c>
      <c r="B25" s="623" t="s">
        <v>174</v>
      </c>
      <c r="C25" s="624">
        <v>1</v>
      </c>
      <c r="D25" s="730">
        <f>[22]CONSOLIDADO!D53</f>
        <v>1</v>
      </c>
      <c r="E25" s="619">
        <f>[22]CONSOLIDADO!E53</f>
        <v>837905585</v>
      </c>
      <c r="F25" s="554">
        <f>[22]CONSOLIDADO!F53</f>
        <v>832409240</v>
      </c>
      <c r="G25" s="625">
        <f t="shared" si="1"/>
        <v>0.99344037669828877</v>
      </c>
    </row>
    <row r="26" spans="1:7" ht="30" customHeight="1" thickBot="1" x14ac:dyDescent="0.25">
      <c r="B26" s="626" t="s">
        <v>30</v>
      </c>
      <c r="C26" s="516">
        <f>SUM(C3:C25)</f>
        <v>23</v>
      </c>
      <c r="D26" s="627">
        <f>(D3+D4+D5+D6+D7+D8+D9+D10+D11+D12+D13+D14+D15+D16+D17+D18+D19+D20+D21+D22+D23+D24+D25)/23</f>
        <v>0.78592464094319536</v>
      </c>
      <c r="E26" s="362">
        <f>SUM(E3:E25)</f>
        <v>3202019203.5599999</v>
      </c>
      <c r="F26" s="362">
        <f>SUM(F3:F25)</f>
        <v>2330594999</v>
      </c>
      <c r="G26" s="627">
        <f>F26/E26</f>
        <v>0.72785166197905626</v>
      </c>
    </row>
    <row r="27" spans="1:7" s="16" customFormat="1" hidden="1" x14ac:dyDescent="0.2">
      <c r="B27" s="259"/>
      <c r="C27" s="250"/>
      <c r="D27" s="260">
        <v>1</v>
      </c>
      <c r="E27" s="234"/>
      <c r="F27" s="234"/>
      <c r="G27" s="260">
        <v>1</v>
      </c>
    </row>
    <row r="28" spans="1:7" s="16" customFormat="1" hidden="1" x14ac:dyDescent="0.2">
      <c r="B28" s="25"/>
      <c r="C28" s="25"/>
      <c r="D28" s="124">
        <v>0</v>
      </c>
      <c r="E28" s="56"/>
      <c r="F28" s="56"/>
      <c r="G28" s="125">
        <v>0</v>
      </c>
    </row>
    <row r="29" spans="1:7" s="16" customFormat="1" x14ac:dyDescent="0.2">
      <c r="B29" s="15"/>
      <c r="C29" s="15"/>
      <c r="D29" s="15"/>
      <c r="G29" s="15"/>
    </row>
    <row r="30" spans="1:7" s="16" customFormat="1" ht="13.5" thickBot="1" x14ac:dyDescent="0.25">
      <c r="B30" s="15"/>
      <c r="C30" s="15"/>
      <c r="D30" s="15"/>
      <c r="G30" s="15"/>
    </row>
    <row r="31" spans="1:7" s="16" customFormat="1" ht="15.75" thickBot="1" x14ac:dyDescent="0.25">
      <c r="A31" s="15"/>
      <c r="B31" s="15"/>
      <c r="C31" s="15"/>
      <c r="D31" s="15"/>
      <c r="E31" s="755" t="s">
        <v>16</v>
      </c>
      <c r="F31" s="756"/>
      <c r="G31" s="757"/>
    </row>
    <row r="32" spans="1:7" s="16" customFormat="1" ht="15.75" thickBot="1" x14ac:dyDescent="0.25">
      <c r="A32" s="15"/>
      <c r="B32" s="15"/>
      <c r="C32" s="15"/>
      <c r="D32" s="15"/>
      <c r="E32" s="282" t="s">
        <v>13</v>
      </c>
      <c r="F32" s="280" t="s">
        <v>14</v>
      </c>
      <c r="G32" s="281" t="s">
        <v>15</v>
      </c>
    </row>
    <row r="33" spans="1:7" s="16" customFormat="1" ht="15" x14ac:dyDescent="0.2">
      <c r="A33" s="15"/>
      <c r="B33" s="15"/>
      <c r="C33" s="15"/>
      <c r="D33" s="15"/>
      <c r="E33" s="148" t="s">
        <v>345</v>
      </c>
      <c r="F33" s="149">
        <v>17</v>
      </c>
      <c r="G33" s="163">
        <f>F33/F36</f>
        <v>0.73913043478260865</v>
      </c>
    </row>
    <row r="34" spans="1:7" ht="15" x14ac:dyDescent="0.2">
      <c r="E34" s="150" t="s">
        <v>346</v>
      </c>
      <c r="F34" s="151"/>
      <c r="G34" s="163">
        <f>F34/F36</f>
        <v>0</v>
      </c>
    </row>
    <row r="35" spans="1:7" ht="15.75" thickBot="1" x14ac:dyDescent="0.25">
      <c r="E35" s="152" t="s">
        <v>344</v>
      </c>
      <c r="F35" s="153">
        <v>6</v>
      </c>
      <c r="G35" s="163">
        <f>F35/F36</f>
        <v>0.2608695652173913</v>
      </c>
    </row>
    <row r="36" spans="1:7" ht="15.75" thickBot="1" x14ac:dyDescent="0.3">
      <c r="E36" s="426" t="s">
        <v>17</v>
      </c>
      <c r="F36" s="154">
        <f>SUM(F33:F35)</f>
        <v>23</v>
      </c>
      <c r="G36" s="164"/>
    </row>
    <row r="37" spans="1:7" ht="15.75" thickBot="1" x14ac:dyDescent="0.25">
      <c r="E37" s="628"/>
      <c r="F37" s="629"/>
      <c r="G37" s="630"/>
    </row>
    <row r="38" spans="1:7" ht="15.75" thickBot="1" x14ac:dyDescent="0.3">
      <c r="E38" s="783" t="s">
        <v>276</v>
      </c>
      <c r="F38" s="784"/>
      <c r="G38" s="785"/>
    </row>
    <row r="39" spans="1:7" ht="15.75" thickBot="1" x14ac:dyDescent="0.25">
      <c r="E39" s="282" t="s">
        <v>3</v>
      </c>
      <c r="F39" s="280" t="s">
        <v>4</v>
      </c>
      <c r="G39" s="165" t="s">
        <v>271</v>
      </c>
    </row>
    <row r="40" spans="1:7" ht="15" thickBot="1" x14ac:dyDescent="0.25">
      <c r="B40" s="16"/>
      <c r="C40" s="16"/>
      <c r="D40" s="16"/>
      <c r="E40" s="631">
        <f>E26</f>
        <v>3202019203.5599999</v>
      </c>
      <c r="F40" s="632">
        <f>F26</f>
        <v>2330594999</v>
      </c>
      <c r="G40" s="70">
        <f>F40/E40</f>
        <v>0.72785166197905626</v>
      </c>
    </row>
    <row r="41" spans="1:7" x14ac:dyDescent="0.2">
      <c r="B41" s="16"/>
      <c r="C41" s="16"/>
      <c r="D41" s="16"/>
    </row>
    <row r="42" spans="1:7" x14ac:dyDescent="0.2">
      <c r="B42" s="16"/>
      <c r="C42" s="16"/>
      <c r="D42" s="16"/>
    </row>
    <row r="43" spans="1:7" x14ac:dyDescent="0.2">
      <c r="B43" s="16"/>
      <c r="C43" s="16"/>
      <c r="D43" s="16"/>
    </row>
    <row r="44" spans="1:7" x14ac:dyDescent="0.2">
      <c r="B44" s="16"/>
      <c r="C44" s="16"/>
      <c r="D44" s="16"/>
    </row>
    <row r="45" spans="1:7" x14ac:dyDescent="0.2">
      <c r="B45" s="16"/>
      <c r="C45" s="16"/>
      <c r="D45" s="16"/>
    </row>
    <row r="46" spans="1:7" x14ac:dyDescent="0.2">
      <c r="B46" s="16"/>
      <c r="C46" s="16"/>
      <c r="D46" s="16"/>
    </row>
  </sheetData>
  <mergeCells count="3">
    <mergeCell ref="B1:G1"/>
    <mergeCell ref="E31:G31"/>
    <mergeCell ref="E38:G38"/>
  </mergeCells>
  <conditionalFormatting sqref="D27:D28">
    <cfRule type="colorScale" priority="7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26:G28">
    <cfRule type="colorScale" priority="35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5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3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21:G25">
    <cfRule type="colorScale" priority="14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25">
    <cfRule type="colorScale" priority="1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27:D28"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28">
    <cfRule type="colorScale" priority="5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25 D27:D28">
    <cfRule type="colorScale" priority="6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26"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26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4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21"/>
  <sheetViews>
    <sheetView view="pageBreakPreview" zoomScale="60" zoomScaleNormal="42" workbookViewId="0">
      <selection activeCell="D7" sqref="D7"/>
    </sheetView>
  </sheetViews>
  <sheetFormatPr baseColWidth="10" defaultColWidth="11.42578125" defaultRowHeight="15" x14ac:dyDescent="0.25"/>
  <cols>
    <col min="1" max="1" width="3" style="1" bestFit="1" customWidth="1"/>
    <col min="2" max="2" width="70" style="1" bestFit="1" customWidth="1"/>
    <col min="3" max="4" width="20.5703125" style="1" customWidth="1"/>
    <col min="5" max="5" width="27.42578125" style="3" customWidth="1"/>
    <col min="6" max="6" width="24.5703125" style="3" customWidth="1"/>
    <col min="7" max="7" width="21.28515625" style="2" customWidth="1"/>
    <col min="8" max="8" width="16.42578125" style="1" customWidth="1"/>
    <col min="9" max="10" width="19" style="1" bestFit="1" customWidth="1"/>
    <col min="11" max="16384" width="11.42578125" style="1"/>
  </cols>
  <sheetData>
    <row r="1" spans="1:9" ht="69.75" customHeight="1" thickBot="1" x14ac:dyDescent="0.3">
      <c r="B1" s="758" t="s">
        <v>340</v>
      </c>
      <c r="C1" s="759"/>
      <c r="D1" s="759"/>
      <c r="E1" s="759"/>
      <c r="F1" s="759"/>
      <c r="G1" s="760"/>
    </row>
    <row r="2" spans="1:9" s="2" customFormat="1" ht="65.25" customHeight="1" thickBot="1" x14ac:dyDescent="0.3">
      <c r="B2" s="14" t="s">
        <v>1</v>
      </c>
      <c r="C2" s="170" t="s">
        <v>54</v>
      </c>
      <c r="D2" s="170" t="s">
        <v>62</v>
      </c>
      <c r="E2" s="171" t="s">
        <v>56</v>
      </c>
      <c r="F2" s="172" t="s">
        <v>57</v>
      </c>
      <c r="G2" s="173" t="s">
        <v>55</v>
      </c>
      <c r="I2" s="10"/>
    </row>
    <row r="3" spans="1:9" s="2" customFormat="1" ht="41.25" customHeight="1" x14ac:dyDescent="0.25">
      <c r="A3" s="4">
        <v>1</v>
      </c>
      <c r="B3" s="633" t="s">
        <v>175</v>
      </c>
      <c r="C3" s="634">
        <v>4</v>
      </c>
      <c r="D3" s="374">
        <f>[23]Hoja1!C20</f>
        <v>1</v>
      </c>
      <c r="E3" s="635">
        <f>[23]Hoja1!D20</f>
        <v>1330738920</v>
      </c>
      <c r="F3" s="558">
        <f>[23]Hoja1!E20</f>
        <v>1305759288</v>
      </c>
      <c r="G3" s="636">
        <f t="shared" ref="G3:G8" si="0">F3/E3</f>
        <v>0.98122875071542959</v>
      </c>
    </row>
    <row r="4" spans="1:9" s="2" customFormat="1" ht="18" x14ac:dyDescent="0.25">
      <c r="A4" s="4">
        <v>2</v>
      </c>
      <c r="B4" s="637" t="s">
        <v>176</v>
      </c>
      <c r="C4" s="638">
        <v>2</v>
      </c>
      <c r="D4" s="374">
        <f>[23]Hoja1!C21</f>
        <v>1</v>
      </c>
      <c r="E4" s="639">
        <f>[23]Hoja1!D21</f>
        <v>1090986759</v>
      </c>
      <c r="F4" s="562">
        <f>[23]Hoja1!E21</f>
        <v>1069177419</v>
      </c>
      <c r="G4" s="636">
        <f t="shared" si="0"/>
        <v>0.98000952823663001</v>
      </c>
    </row>
    <row r="5" spans="1:9" s="2" customFormat="1" ht="41.25" customHeight="1" x14ac:dyDescent="0.25">
      <c r="A5" s="4">
        <v>3</v>
      </c>
      <c r="B5" s="587" t="s">
        <v>177</v>
      </c>
      <c r="C5" s="638">
        <v>2</v>
      </c>
      <c r="D5" s="374">
        <f>[23]Hoja1!C22</f>
        <v>1</v>
      </c>
      <c r="E5" s="639">
        <f>[23]Hoja1!D22</f>
        <v>160000000</v>
      </c>
      <c r="F5" s="562">
        <f>[23]Hoja1!E22</f>
        <v>155300000</v>
      </c>
      <c r="G5" s="636">
        <f t="shared" si="0"/>
        <v>0.97062499999999996</v>
      </c>
    </row>
    <row r="6" spans="1:9" s="2" customFormat="1" ht="38.25" customHeight="1" x14ac:dyDescent="0.25">
      <c r="A6" s="4">
        <v>4</v>
      </c>
      <c r="B6" s="587" t="s">
        <v>178</v>
      </c>
      <c r="C6" s="638">
        <v>2</v>
      </c>
      <c r="D6" s="374">
        <f>[23]Hoja1!C23</f>
        <v>1</v>
      </c>
      <c r="E6" s="639">
        <f>[23]Hoja1!D23</f>
        <v>875070928</v>
      </c>
      <c r="F6" s="562">
        <f>[23]Hoja1!E23</f>
        <v>856993342</v>
      </c>
      <c r="G6" s="636">
        <f t="shared" si="0"/>
        <v>0.97934157629791585</v>
      </c>
    </row>
    <row r="7" spans="1:9" s="2" customFormat="1" ht="45.75" customHeight="1" thickBot="1" x14ac:dyDescent="0.3">
      <c r="A7" s="4">
        <v>5</v>
      </c>
      <c r="B7" s="640" t="s">
        <v>179</v>
      </c>
      <c r="C7" s="641">
        <v>1</v>
      </c>
      <c r="D7" s="374">
        <f>[23]Hoja1!C24</f>
        <v>0</v>
      </c>
      <c r="E7" s="642">
        <f>[23]Hoja1!D24</f>
        <v>1000000</v>
      </c>
      <c r="F7" s="566">
        <f>[23]Hoja1!E24</f>
        <v>1000000</v>
      </c>
      <c r="G7" s="643">
        <f t="shared" si="0"/>
        <v>1</v>
      </c>
    </row>
    <row r="8" spans="1:9" ht="33" customHeight="1" thickBot="1" x14ac:dyDescent="0.3">
      <c r="B8" s="321" t="s">
        <v>0</v>
      </c>
      <c r="C8" s="644">
        <f>SUM(C3:C7)</f>
        <v>11</v>
      </c>
      <c r="D8" s="645">
        <f>SUM(D3:D7)/5</f>
        <v>0.8</v>
      </c>
      <c r="E8" s="646">
        <f>SUM(E3:E7)</f>
        <v>3457796607</v>
      </c>
      <c r="F8" s="646">
        <f>SUM(F3:F7)</f>
        <v>3388230049</v>
      </c>
      <c r="G8" s="647">
        <f t="shared" si="0"/>
        <v>0.97988124638124496</v>
      </c>
    </row>
    <row r="9" spans="1:9" hidden="1" x14ac:dyDescent="0.25">
      <c r="B9" s="91"/>
      <c r="C9" s="114"/>
      <c r="D9" s="95">
        <v>1</v>
      </c>
      <c r="E9" s="118"/>
      <c r="F9" s="118"/>
      <c r="G9" s="126">
        <v>1</v>
      </c>
    </row>
    <row r="10" spans="1:9" ht="15" hidden="1" customHeight="1" x14ac:dyDescent="0.25">
      <c r="B10" s="15"/>
      <c r="C10" s="15"/>
      <c r="D10" s="95">
        <v>0</v>
      </c>
      <c r="E10" s="16"/>
      <c r="F10" s="16"/>
      <c r="G10" s="126">
        <v>0</v>
      </c>
    </row>
    <row r="11" spans="1:9" s="2" customFormat="1" ht="15.75" thickBot="1" x14ac:dyDescent="0.3">
      <c r="A11" s="1"/>
      <c r="E11" s="3"/>
      <c r="F11" s="3"/>
    </row>
    <row r="12" spans="1:9" s="3" customFormat="1" ht="15.75" thickBot="1" x14ac:dyDescent="0.3">
      <c r="A12" s="1"/>
      <c r="E12" s="761" t="s">
        <v>16</v>
      </c>
      <c r="F12" s="762"/>
      <c r="G12" s="763"/>
    </row>
    <row r="13" spans="1:9" s="3" customFormat="1" ht="15.75" thickBot="1" x14ac:dyDescent="0.3">
      <c r="A13" s="1"/>
      <c r="E13" s="136" t="s">
        <v>13</v>
      </c>
      <c r="F13" s="137" t="s">
        <v>14</v>
      </c>
      <c r="G13" s="138" t="s">
        <v>15</v>
      </c>
    </row>
    <row r="14" spans="1:9" s="3" customFormat="1" x14ac:dyDescent="0.25">
      <c r="A14" s="1"/>
      <c r="E14" s="155" t="s">
        <v>345</v>
      </c>
      <c r="F14" s="156">
        <v>10</v>
      </c>
      <c r="G14" s="23">
        <f>F14/F17</f>
        <v>0.90909090909090906</v>
      </c>
    </row>
    <row r="15" spans="1:9" s="3" customFormat="1" x14ac:dyDescent="0.25">
      <c r="A15" s="1"/>
      <c r="E15" s="157" t="s">
        <v>346</v>
      </c>
      <c r="F15" s="158"/>
      <c r="G15" s="23">
        <f>F15/F17</f>
        <v>0</v>
      </c>
    </row>
    <row r="16" spans="1:9" s="3" customFormat="1" ht="15.75" thickBot="1" x14ac:dyDescent="0.3">
      <c r="A16" s="1"/>
      <c r="E16" s="159" t="s">
        <v>344</v>
      </c>
      <c r="F16" s="160">
        <v>1</v>
      </c>
      <c r="G16" s="23">
        <f>F16/F17</f>
        <v>9.0909090909090912E-2</v>
      </c>
    </row>
    <row r="17" spans="1:7" s="3" customFormat="1" ht="15.75" thickBot="1" x14ac:dyDescent="0.3">
      <c r="A17" s="1"/>
      <c r="E17" s="161" t="s">
        <v>17</v>
      </c>
      <c r="F17" s="162">
        <f>SUM(F14:F16)</f>
        <v>11</v>
      </c>
      <c r="G17" s="50"/>
    </row>
    <row r="18" spans="1:7" s="3" customFormat="1" ht="15.75" thickBot="1" x14ac:dyDescent="0.3">
      <c r="A18" s="1"/>
      <c r="E18" s="196"/>
      <c r="F18" s="197"/>
      <c r="G18" s="33"/>
    </row>
    <row r="19" spans="1:7" ht="15.75" thickBot="1" x14ac:dyDescent="0.3">
      <c r="E19" s="779" t="s">
        <v>274</v>
      </c>
      <c r="F19" s="780"/>
      <c r="G19" s="781"/>
    </row>
    <row r="20" spans="1:7" ht="15.75" thickBot="1" x14ac:dyDescent="0.3">
      <c r="E20" s="136" t="s">
        <v>3</v>
      </c>
      <c r="F20" s="137" t="s">
        <v>4</v>
      </c>
      <c r="G20" s="30" t="s">
        <v>213</v>
      </c>
    </row>
    <row r="21" spans="1:7" ht="15.75" thickBot="1" x14ac:dyDescent="0.3">
      <c r="E21" s="207">
        <f>E8</f>
        <v>3457796607</v>
      </c>
      <c r="F21" s="208">
        <f>F8</f>
        <v>3388230049</v>
      </c>
      <c r="G21" s="29">
        <f>F21/E21</f>
        <v>0.97988124638124496</v>
      </c>
    </row>
  </sheetData>
  <mergeCells count="3">
    <mergeCell ref="B1:G1"/>
    <mergeCell ref="E12:G12"/>
    <mergeCell ref="E19:G19"/>
  </mergeCells>
  <conditionalFormatting sqref="D8:D10"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70866141732283472" top="0.74803149606299213" bottom="1.3385826771653544" header="0.31496062992125984" footer="0.31496062992125984"/>
  <pageSetup paperSize="5" scale="52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95"/>
  <sheetViews>
    <sheetView view="pageBreakPreview" topLeftCell="A58" zoomScale="60" zoomScaleNormal="41" workbookViewId="0">
      <selection activeCell="D72" sqref="D72"/>
    </sheetView>
  </sheetViews>
  <sheetFormatPr baseColWidth="10" defaultColWidth="11.42578125" defaultRowHeight="15" x14ac:dyDescent="0.25"/>
  <cols>
    <col min="1" max="1" width="5.42578125" style="78" customWidth="1"/>
    <col min="2" max="2" width="60.5703125" style="60" customWidth="1"/>
    <col min="3" max="4" width="20.5703125" style="60" customWidth="1"/>
    <col min="5" max="5" width="25.5703125" style="59" customWidth="1"/>
    <col min="6" max="6" width="26" style="59" customWidth="1"/>
    <col min="7" max="7" width="20.5703125" style="2" customWidth="1"/>
    <col min="8" max="8" width="16.42578125" style="1" customWidth="1"/>
    <col min="9" max="9" width="7.85546875" style="1" customWidth="1"/>
    <col min="10" max="11" width="20.42578125" style="1" customWidth="1"/>
    <col min="12" max="12" width="20" style="1" customWidth="1"/>
    <col min="13" max="15" width="11.42578125" style="1"/>
    <col min="16" max="16" width="19.85546875" style="1" customWidth="1"/>
    <col min="17" max="18" width="19.42578125" style="1" customWidth="1"/>
    <col min="19" max="16384" width="11.42578125" style="1"/>
  </cols>
  <sheetData>
    <row r="1" spans="1:7" ht="15.75" thickBot="1" x14ac:dyDescent="0.3"/>
    <row r="2" spans="1:7" ht="74.25" customHeight="1" thickBot="1" x14ac:dyDescent="0.3">
      <c r="B2" s="758" t="s">
        <v>341</v>
      </c>
      <c r="C2" s="759"/>
      <c r="D2" s="759"/>
      <c r="E2" s="759"/>
      <c r="F2" s="759"/>
      <c r="G2" s="760"/>
    </row>
    <row r="3" spans="1:7" s="2" customFormat="1" ht="81.75" customHeight="1" thickBot="1" x14ac:dyDescent="0.3">
      <c r="A3" s="20"/>
      <c r="B3" s="79" t="s">
        <v>1</v>
      </c>
      <c r="C3" s="144" t="s">
        <v>54</v>
      </c>
      <c r="D3" s="144" t="s">
        <v>62</v>
      </c>
      <c r="E3" s="145" t="s">
        <v>56</v>
      </c>
      <c r="F3" s="146" t="s">
        <v>57</v>
      </c>
      <c r="G3" s="147" t="s">
        <v>55</v>
      </c>
    </row>
    <row r="4" spans="1:7" ht="76.5" x14ac:dyDescent="0.25">
      <c r="A4" s="78">
        <v>1</v>
      </c>
      <c r="B4" s="175" t="s">
        <v>214</v>
      </c>
      <c r="C4" s="648">
        <f>[24]CONSOLIDADO!B311</f>
        <v>1</v>
      </c>
      <c r="D4" s="475">
        <f>[24]CONSOLIDADO!C311</f>
        <v>1</v>
      </c>
      <c r="E4" s="649" t="str">
        <f>[24]CONSOLIDADO!D311</f>
        <v>Actividades de Gestión</v>
      </c>
      <c r="F4" s="650" t="str">
        <f>[24]CONSOLIDADO!E311</f>
        <v>Actividades de Gestión</v>
      </c>
      <c r="G4" s="732" t="str">
        <f>+F4</f>
        <v>Actividades de Gestión</v>
      </c>
    </row>
    <row r="5" spans="1:7" ht="63.75" x14ac:dyDescent="0.25">
      <c r="A5" s="78">
        <v>2</v>
      </c>
      <c r="B5" s="209" t="s">
        <v>215</v>
      </c>
      <c r="C5" s="655">
        <f>[24]CONSOLIDADO!B312</f>
        <v>1</v>
      </c>
      <c r="D5" s="374">
        <f>[24]CONSOLIDADO!C312</f>
        <v>0.7</v>
      </c>
      <c r="E5" s="651">
        <f>[24]CONSOLIDADO!D312</f>
        <v>691540351</v>
      </c>
      <c r="F5" s="652">
        <f>[24]CONSOLIDADO!E312</f>
        <v>623729509.5</v>
      </c>
      <c r="G5" s="376">
        <f t="shared" ref="G5:G58" si="0">F5/E5</f>
        <v>0.90194232136715913</v>
      </c>
    </row>
    <row r="6" spans="1:7" ht="74.099999999999994" customHeight="1" x14ac:dyDescent="0.25">
      <c r="A6" s="78">
        <v>3</v>
      </c>
      <c r="B6" s="178" t="s">
        <v>216</v>
      </c>
      <c r="C6" s="653">
        <f>[24]CONSOLIDADO!B313</f>
        <v>4</v>
      </c>
      <c r="D6" s="654">
        <f>[24]CONSOLIDADO!C313</f>
        <v>0.96</v>
      </c>
      <c r="E6" s="651">
        <f>[24]CONSOLIDADO!D313</f>
        <v>3272431021.9200001</v>
      </c>
      <c r="F6" s="652">
        <f>[24]CONSOLIDADO!E313</f>
        <v>3262852890.1900001</v>
      </c>
      <c r="G6" s="376">
        <f t="shared" si="0"/>
        <v>0.99707308369043013</v>
      </c>
    </row>
    <row r="7" spans="1:7" ht="63.75" x14ac:dyDescent="0.25">
      <c r="A7" s="78">
        <v>4</v>
      </c>
      <c r="B7" s="178" t="s">
        <v>217</v>
      </c>
      <c r="C7" s="655">
        <f>[24]CONSOLIDADO!B314</f>
        <v>3</v>
      </c>
      <c r="D7" s="654">
        <f>[24]CONSOLIDADO!C314</f>
        <v>1</v>
      </c>
      <c r="E7" s="651">
        <f>[24]CONSOLIDADO!D314</f>
        <v>1565091362</v>
      </c>
      <c r="F7" s="652">
        <f>[24]CONSOLIDADO!E314</f>
        <v>1425228396.73</v>
      </c>
      <c r="G7" s="376">
        <f t="shared" si="0"/>
        <v>0.91063591003960831</v>
      </c>
    </row>
    <row r="8" spans="1:7" ht="51" x14ac:dyDescent="0.25">
      <c r="A8" s="78">
        <v>5</v>
      </c>
      <c r="B8" s="178" t="s">
        <v>218</v>
      </c>
      <c r="C8" s="655">
        <f>[24]CONSOLIDADO!B315</f>
        <v>3</v>
      </c>
      <c r="D8" s="654">
        <f>[24]CONSOLIDADO!C315</f>
        <v>1</v>
      </c>
      <c r="E8" s="652" t="str">
        <f>[24]CONSOLIDADO!D315</f>
        <v>Actividades de Gestión</v>
      </c>
      <c r="F8" s="652" t="str">
        <f>[24]CONSOLIDADO!E315</f>
        <v>Actividades de Gestión</v>
      </c>
      <c r="G8" s="733" t="str">
        <f>$F$8</f>
        <v>Actividades de Gestión</v>
      </c>
    </row>
    <row r="9" spans="1:7" ht="87.75" customHeight="1" x14ac:dyDescent="0.25">
      <c r="A9" s="78">
        <v>6</v>
      </c>
      <c r="B9" s="176" t="s">
        <v>219</v>
      </c>
      <c r="C9" s="653">
        <f>[24]CONSOLIDADO!B316</f>
        <v>1</v>
      </c>
      <c r="D9" s="654">
        <f>[24]CONSOLIDADO!C316</f>
        <v>1</v>
      </c>
      <c r="E9" s="651">
        <f>[24]CONSOLIDADO!D316</f>
        <v>2673040000</v>
      </c>
      <c r="F9" s="652">
        <f>[24]CONSOLIDADO!E316</f>
        <v>2671116094.9699998</v>
      </c>
      <c r="G9" s="376">
        <f t="shared" si="0"/>
        <v>0.99928025580238222</v>
      </c>
    </row>
    <row r="10" spans="1:7" ht="76.5" x14ac:dyDescent="0.25">
      <c r="A10" s="78">
        <v>7</v>
      </c>
      <c r="B10" s="176" t="s">
        <v>220</v>
      </c>
      <c r="C10" s="655">
        <f>[24]CONSOLIDADO!B317</f>
        <v>1</v>
      </c>
      <c r="D10" s="654">
        <f>[24]CONSOLIDADO!C317</f>
        <v>1</v>
      </c>
      <c r="E10" s="651">
        <f>[24]CONSOLIDADO!D317</f>
        <v>1120000000</v>
      </c>
      <c r="F10" s="652">
        <f>[24]CONSOLIDADO!E317</f>
        <v>1104512906</v>
      </c>
      <c r="G10" s="376">
        <f t="shared" si="0"/>
        <v>0.98617223750000005</v>
      </c>
    </row>
    <row r="11" spans="1:7" ht="63.75" x14ac:dyDescent="0.25">
      <c r="A11" s="78">
        <v>8</v>
      </c>
      <c r="B11" s="178" t="s">
        <v>221</v>
      </c>
      <c r="C11" s="656">
        <f>[24]CONSOLIDADO!B318</f>
        <v>2</v>
      </c>
      <c r="D11" s="654">
        <f>[24]CONSOLIDADO!C318</f>
        <v>0.65</v>
      </c>
      <c r="E11" s="651">
        <f>[24]CONSOLIDADO!D318</f>
        <v>986939603</v>
      </c>
      <c r="F11" s="652">
        <f>[24]CONSOLIDADO!E318</f>
        <v>971178000.38999999</v>
      </c>
      <c r="G11" s="376">
        <f t="shared" si="0"/>
        <v>0.98402982050564247</v>
      </c>
    </row>
    <row r="12" spans="1:7" ht="63.75" x14ac:dyDescent="0.25">
      <c r="A12" s="78">
        <v>9</v>
      </c>
      <c r="B12" s="176" t="s">
        <v>222</v>
      </c>
      <c r="C12" s="655">
        <f>[24]CONSOLIDADO!B319</f>
        <v>2</v>
      </c>
      <c r="D12" s="654">
        <f>[24]CONSOLIDADO!C319</f>
        <v>1</v>
      </c>
      <c r="E12" s="651">
        <f>[24]CONSOLIDADO!D319</f>
        <v>3482697608.3799996</v>
      </c>
      <c r="F12" s="652">
        <f>[24]CONSOLIDADO!E319</f>
        <v>3344196656</v>
      </c>
      <c r="G12" s="376">
        <f t="shared" si="0"/>
        <v>0.96023170313531059</v>
      </c>
    </row>
    <row r="13" spans="1:7" ht="76.5" x14ac:dyDescent="0.25">
      <c r="A13" s="78">
        <v>10</v>
      </c>
      <c r="B13" s="178" t="s">
        <v>223</v>
      </c>
      <c r="C13" s="655">
        <f>[24]CONSOLIDADO!B320</f>
        <v>2</v>
      </c>
      <c r="D13" s="654">
        <f>[24]CONSOLIDADO!C320</f>
        <v>1</v>
      </c>
      <c r="E13" s="651">
        <f>[24]CONSOLIDADO!D320</f>
        <v>1802773035</v>
      </c>
      <c r="F13" s="652">
        <f>[24]CONSOLIDADO!E320</f>
        <v>1720882438.5799999</v>
      </c>
      <c r="G13" s="376">
        <f t="shared" si="0"/>
        <v>0.95457520451541478</v>
      </c>
    </row>
    <row r="14" spans="1:7" ht="81.95" customHeight="1" x14ac:dyDescent="0.25">
      <c r="A14" s="78">
        <v>11</v>
      </c>
      <c r="B14" s="176" t="s">
        <v>224</v>
      </c>
      <c r="C14" s="655">
        <f>[24]CONSOLIDADO!B321</f>
        <v>1</v>
      </c>
      <c r="D14" s="654">
        <f>[24]CONSOLIDADO!C321</f>
        <v>1</v>
      </c>
      <c r="E14" s="651">
        <f>[24]CONSOLIDADO!D321</f>
        <v>39500000</v>
      </c>
      <c r="F14" s="652">
        <f>[24]CONSOLIDADO!E321</f>
        <v>34724199</v>
      </c>
      <c r="G14" s="376">
        <f t="shared" si="0"/>
        <v>0.87909364556962022</v>
      </c>
    </row>
    <row r="15" spans="1:7" ht="99.6" customHeight="1" x14ac:dyDescent="0.25">
      <c r="A15" s="78">
        <v>12</v>
      </c>
      <c r="B15" s="176" t="s">
        <v>225</v>
      </c>
      <c r="C15" s="655">
        <f>[24]CONSOLIDADO!B322</f>
        <v>1</v>
      </c>
      <c r="D15" s="654">
        <f>[24]CONSOLIDADO!C322</f>
        <v>0.8</v>
      </c>
      <c r="E15" s="651">
        <f>[24]CONSOLIDADO!D322</f>
        <v>88000000</v>
      </c>
      <c r="F15" s="652">
        <f>[24]CONSOLIDADO!E322</f>
        <v>39328140.5</v>
      </c>
      <c r="G15" s="376">
        <f t="shared" si="0"/>
        <v>0.44691068750000001</v>
      </c>
    </row>
    <row r="16" spans="1:7" ht="76.5" x14ac:dyDescent="0.25">
      <c r="A16" s="78">
        <v>13</v>
      </c>
      <c r="B16" s="178" t="s">
        <v>226</v>
      </c>
      <c r="C16" s="656">
        <f>[24]CONSOLIDADO!B323</f>
        <v>1</v>
      </c>
      <c r="D16" s="654">
        <f>[24]CONSOLIDADO!C323</f>
        <v>1</v>
      </c>
      <c r="E16" s="657">
        <f>[24]CONSOLIDADO!D323</f>
        <v>153000000</v>
      </c>
      <c r="F16" s="652">
        <f>[24]CONSOLIDADO!E323</f>
        <v>142085314.44</v>
      </c>
      <c r="G16" s="376">
        <f t="shared" si="0"/>
        <v>0.92866218588235294</v>
      </c>
    </row>
    <row r="17" spans="1:12" ht="76.5" x14ac:dyDescent="0.25">
      <c r="A17" s="78">
        <v>14</v>
      </c>
      <c r="B17" s="176" t="s">
        <v>227</v>
      </c>
      <c r="C17" s="655">
        <f>[24]CONSOLIDADO!B324</f>
        <v>1</v>
      </c>
      <c r="D17" s="654">
        <f>[24]CONSOLIDADO!C324</f>
        <v>0.8</v>
      </c>
      <c r="E17" s="651">
        <f>[24]CONSOLIDADO!D324</f>
        <v>811000000</v>
      </c>
      <c r="F17" s="652">
        <f>[24]CONSOLIDADO!E324</f>
        <v>808517975.74000001</v>
      </c>
      <c r="G17" s="376">
        <f t="shared" si="0"/>
        <v>0.99693955085080144</v>
      </c>
    </row>
    <row r="18" spans="1:12" ht="78.95" customHeight="1" x14ac:dyDescent="0.25">
      <c r="A18" s="78">
        <v>15</v>
      </c>
      <c r="B18" s="176" t="s">
        <v>228</v>
      </c>
      <c r="C18" s="655">
        <f>[24]CONSOLIDADO!B325</f>
        <v>1</v>
      </c>
      <c r="D18" s="654">
        <f>[24]CONSOLIDADO!C325</f>
        <v>1</v>
      </c>
      <c r="E18" s="651" t="str">
        <f>[24]CONSOLIDADO!D325</f>
        <v>Actividades de Gestión</v>
      </c>
      <c r="F18" s="652" t="str">
        <f>[24]CONSOLIDADO!E325</f>
        <v>Actividades de Gestión</v>
      </c>
      <c r="G18" s="734" t="str">
        <f>+F18</f>
        <v>Actividades de Gestión</v>
      </c>
    </row>
    <row r="19" spans="1:12" ht="63.75" x14ac:dyDescent="0.25">
      <c r="A19" s="78">
        <v>16</v>
      </c>
      <c r="B19" s="178" t="s">
        <v>229</v>
      </c>
      <c r="C19" s="655">
        <f>[24]CONSOLIDADO!B326</f>
        <v>2</v>
      </c>
      <c r="D19" s="654">
        <f>[24]CONSOLIDADO!C326</f>
        <v>1</v>
      </c>
      <c r="E19" s="651">
        <f>[24]CONSOLIDADO!D326</f>
        <v>1126000000</v>
      </c>
      <c r="F19" s="652">
        <f>[24]CONSOLIDADO!E326</f>
        <v>1066256754.39</v>
      </c>
      <c r="G19" s="376">
        <f t="shared" si="0"/>
        <v>0.94694205540852572</v>
      </c>
    </row>
    <row r="20" spans="1:12" ht="63.75" x14ac:dyDescent="0.25">
      <c r="A20" s="78">
        <v>17</v>
      </c>
      <c r="B20" s="178" t="s">
        <v>230</v>
      </c>
      <c r="C20" s="655">
        <f>[24]CONSOLIDADO!B327</f>
        <v>2</v>
      </c>
      <c r="D20" s="654">
        <f>[24]CONSOLIDADO!C327</f>
        <v>0.83</v>
      </c>
      <c r="E20" s="651">
        <f>[24]CONSOLIDADO!D327</f>
        <v>1050000000</v>
      </c>
      <c r="F20" s="652">
        <f>[24]CONSOLIDADO!E327</f>
        <v>953506671</v>
      </c>
      <c r="G20" s="376">
        <f t="shared" si="0"/>
        <v>0.90810159142857139</v>
      </c>
    </row>
    <row r="21" spans="1:12" ht="63.75" x14ac:dyDescent="0.25">
      <c r="A21" s="78">
        <v>18</v>
      </c>
      <c r="B21" s="176" t="s">
        <v>231</v>
      </c>
      <c r="C21" s="655">
        <f>[24]CONSOLIDADO!B328</f>
        <v>1</v>
      </c>
      <c r="D21" s="654">
        <f>[24]CONSOLIDADO!C328</f>
        <v>1</v>
      </c>
      <c r="E21" s="651">
        <f>[24]CONSOLIDADO!D328</f>
        <v>353300000</v>
      </c>
      <c r="F21" s="652">
        <f>[24]CONSOLIDADO!E328</f>
        <v>236100025.33000001</v>
      </c>
      <c r="G21" s="376">
        <f t="shared" si="0"/>
        <v>0.66827066326068496</v>
      </c>
    </row>
    <row r="22" spans="1:12" ht="89.25" x14ac:dyDescent="0.25">
      <c r="A22" s="78">
        <v>19</v>
      </c>
      <c r="B22" s="176" t="s">
        <v>232</v>
      </c>
      <c r="C22" s="655">
        <f>[24]CONSOLIDADO!B329</f>
        <v>1</v>
      </c>
      <c r="D22" s="654">
        <f>[24]CONSOLIDADO!C329</f>
        <v>1</v>
      </c>
      <c r="E22" s="651">
        <f>[24]CONSOLIDADO!D329</f>
        <v>416000000</v>
      </c>
      <c r="F22" s="652">
        <f>[24]CONSOLIDADO!E329</f>
        <v>415768009.52999997</v>
      </c>
      <c r="G22" s="376">
        <f>F22/E22</f>
        <v>0.99944233060096144</v>
      </c>
    </row>
    <row r="23" spans="1:12" ht="89.25" x14ac:dyDescent="0.25">
      <c r="A23" s="78">
        <v>20</v>
      </c>
      <c r="B23" s="176" t="s">
        <v>233</v>
      </c>
      <c r="C23" s="658">
        <f>[24]CONSOLIDADO!B330</f>
        <v>1</v>
      </c>
      <c r="D23" s="654">
        <f>[24]CONSOLIDADO!C330</f>
        <v>1</v>
      </c>
      <c r="E23" s="659" t="str">
        <f>[24]CONSOLIDADO!D330</f>
        <v>Actividades de Gestión</v>
      </c>
      <c r="F23" s="652" t="str">
        <f>[24]CONSOLIDADO!E330</f>
        <v>Actividades de Gestión</v>
      </c>
      <c r="G23" s="734" t="str">
        <f>+F23</f>
        <v>Actividades de Gestión</v>
      </c>
      <c r="J23" s="19"/>
      <c r="K23" s="74"/>
      <c r="L23" s="50"/>
    </row>
    <row r="24" spans="1:12" ht="76.5" x14ac:dyDescent="0.25">
      <c r="A24" s="78">
        <v>21</v>
      </c>
      <c r="B24" s="176" t="s">
        <v>234</v>
      </c>
      <c r="C24" s="658">
        <f>[24]CONSOLIDADO!B331</f>
        <v>1</v>
      </c>
      <c r="D24" s="654">
        <f>[24]CONSOLIDADO!C331</f>
        <v>1</v>
      </c>
      <c r="E24" s="659" t="str">
        <f>[24]CONSOLIDADO!D331</f>
        <v>Actividades de Gestión</v>
      </c>
      <c r="F24" s="652" t="str">
        <f>[24]CONSOLIDADO!E331</f>
        <v>Actividades de Gestión</v>
      </c>
      <c r="G24" s="734" t="s">
        <v>180</v>
      </c>
    </row>
    <row r="25" spans="1:12" ht="76.5" x14ac:dyDescent="0.25">
      <c r="A25" s="78">
        <v>22</v>
      </c>
      <c r="B25" s="178" t="s">
        <v>235</v>
      </c>
      <c r="C25" s="658">
        <f>[24]CONSOLIDADO!B332</f>
        <v>2</v>
      </c>
      <c r="D25" s="654">
        <f>[24]CONSOLIDADO!C332</f>
        <v>0.5</v>
      </c>
      <c r="E25" s="659" t="str">
        <f>[24]CONSOLIDADO!D332</f>
        <v>Actividades de Gestión</v>
      </c>
      <c r="F25" s="652" t="str">
        <f>[24]CONSOLIDADO!E332</f>
        <v>Actividades de Gestión</v>
      </c>
      <c r="G25" s="733" t="str">
        <f>$F$25</f>
        <v>Actividades de Gestión</v>
      </c>
    </row>
    <row r="26" spans="1:12" ht="51" x14ac:dyDescent="0.25">
      <c r="A26" s="78">
        <v>23</v>
      </c>
      <c r="B26" s="176" t="s">
        <v>236</v>
      </c>
      <c r="C26" s="658">
        <f>[24]CONSOLIDADO!B333</f>
        <v>1</v>
      </c>
      <c r="D26" s="654">
        <f>[24]CONSOLIDADO!C333</f>
        <v>1</v>
      </c>
      <c r="E26" s="659" t="str">
        <f>[24]CONSOLIDADO!D333</f>
        <v>Actividades de Gestión</v>
      </c>
      <c r="F26" s="659" t="str">
        <f>[24]CONSOLIDADO!E333</f>
        <v>Actividades de Gestión</v>
      </c>
      <c r="G26" s="734" t="s">
        <v>180</v>
      </c>
    </row>
    <row r="27" spans="1:12" ht="51" x14ac:dyDescent="0.25">
      <c r="A27" s="78">
        <v>24</v>
      </c>
      <c r="B27" s="178" t="s">
        <v>237</v>
      </c>
      <c r="C27" s="658">
        <f>[24]CONSOLIDADO!B334</f>
        <v>5</v>
      </c>
      <c r="D27" s="654">
        <f>[24]CONSOLIDADO!C334</f>
        <v>0.97</v>
      </c>
      <c r="E27" s="651">
        <f>[24]CONSOLIDADO!D334</f>
        <v>207746080</v>
      </c>
      <c r="F27" s="652">
        <f>[24]CONSOLIDADO!E334</f>
        <v>97755900</v>
      </c>
      <c r="G27" s="376">
        <f t="shared" si="0"/>
        <v>0.4705547271938898</v>
      </c>
    </row>
    <row r="28" spans="1:12" ht="51" x14ac:dyDescent="0.25">
      <c r="A28" s="78">
        <v>25</v>
      </c>
      <c r="B28" s="176" t="s">
        <v>238</v>
      </c>
      <c r="C28" s="658">
        <f>[24]CONSOLIDADO!B335</f>
        <v>1</v>
      </c>
      <c r="D28" s="654">
        <f>[24]CONSOLIDADO!C335</f>
        <v>1</v>
      </c>
      <c r="E28" s="651">
        <f>[24]CONSOLIDADO!D335</f>
        <v>25423552</v>
      </c>
      <c r="F28" s="652">
        <f>[24]CONSOLIDADO!E335</f>
        <v>24746666.399999999</v>
      </c>
      <c r="G28" s="376">
        <f t="shared" si="0"/>
        <v>0.97337564790317255</v>
      </c>
    </row>
    <row r="29" spans="1:12" ht="51" x14ac:dyDescent="0.25">
      <c r="A29" s="78">
        <v>26</v>
      </c>
      <c r="B29" s="176" t="s">
        <v>239</v>
      </c>
      <c r="C29" s="655">
        <f>[24]CONSOLIDADO!B336</f>
        <v>1</v>
      </c>
      <c r="D29" s="654">
        <f>[24]CONSOLIDADO!C336</f>
        <v>1</v>
      </c>
      <c r="E29" s="651" t="str">
        <f>[24]CONSOLIDADO!D336</f>
        <v>Actividades de Gestión</v>
      </c>
      <c r="F29" s="652" t="str">
        <f>[24]CONSOLIDADO!E336</f>
        <v>Actividades de Gestión</v>
      </c>
      <c r="G29" s="734" t="s">
        <v>180</v>
      </c>
    </row>
    <row r="30" spans="1:12" s="61" customFormat="1" ht="74.099999999999994" customHeight="1" x14ac:dyDescent="0.25">
      <c r="A30" s="78">
        <v>27</v>
      </c>
      <c r="B30" s="176" t="s">
        <v>240</v>
      </c>
      <c r="C30" s="658">
        <f>[24]CONSOLIDADO!B337</f>
        <v>1</v>
      </c>
      <c r="D30" s="654">
        <f>[24]CONSOLIDADO!C337</f>
        <v>1</v>
      </c>
      <c r="E30" s="651">
        <f>[24]CONSOLIDADO!D337</f>
        <v>6355888</v>
      </c>
      <c r="F30" s="652">
        <f>[24]CONSOLIDADO!E337</f>
        <v>6186666.5999999996</v>
      </c>
      <c r="G30" s="376">
        <f t="shared" si="0"/>
        <v>0.97337564790317255</v>
      </c>
    </row>
    <row r="31" spans="1:12" ht="51" x14ac:dyDescent="0.25">
      <c r="A31" s="78">
        <v>28</v>
      </c>
      <c r="B31" s="176" t="s">
        <v>241</v>
      </c>
      <c r="C31" s="658">
        <f>[24]CONSOLIDADO!B338</f>
        <v>1</v>
      </c>
      <c r="D31" s="654">
        <f>[24]CONSOLIDADO!C338</f>
        <v>0.99</v>
      </c>
      <c r="E31" s="651">
        <f>[24]CONSOLIDADO!D338</f>
        <v>234935382</v>
      </c>
      <c r="F31" s="652">
        <f>[24]CONSOLIDADO!E338</f>
        <v>187341300</v>
      </c>
      <c r="G31" s="376">
        <f t="shared" si="0"/>
        <v>0.79741628700269596</v>
      </c>
    </row>
    <row r="32" spans="1:12" ht="51" x14ac:dyDescent="0.25">
      <c r="A32" s="78">
        <v>29</v>
      </c>
      <c r="B32" s="178" t="s">
        <v>242</v>
      </c>
      <c r="C32" s="658">
        <f>[24]CONSOLIDADO!B339</f>
        <v>3</v>
      </c>
      <c r="D32" s="654">
        <f>[24]CONSOLIDADO!C339</f>
        <v>0.93</v>
      </c>
      <c r="E32" s="651">
        <f>[24]CONSOLIDADO!D339</f>
        <v>765549633</v>
      </c>
      <c r="F32" s="652">
        <f>[24]CONSOLIDADO!E339</f>
        <v>516605769.83999997</v>
      </c>
      <c r="G32" s="376">
        <f t="shared" si="0"/>
        <v>0.67481682123672315</v>
      </c>
    </row>
    <row r="33" spans="1:7" ht="51" x14ac:dyDescent="0.25">
      <c r="A33" s="78">
        <v>30</v>
      </c>
      <c r="B33" s="178" t="s">
        <v>243</v>
      </c>
      <c r="C33" s="655">
        <f>[24]CONSOLIDADO!B340</f>
        <v>16</v>
      </c>
      <c r="D33" s="654">
        <f>[24]CONSOLIDADO!C340</f>
        <v>0.93</v>
      </c>
      <c r="E33" s="651">
        <f>[24]CONSOLIDADO!D340</f>
        <v>5428601305</v>
      </c>
      <c r="F33" s="652">
        <f>[24]CONSOLIDADO!E340</f>
        <v>5311527388</v>
      </c>
      <c r="G33" s="376">
        <f t="shared" si="0"/>
        <v>0.97843387082190592</v>
      </c>
    </row>
    <row r="34" spans="1:7" ht="76.5" x14ac:dyDescent="0.25">
      <c r="A34" s="78">
        <v>31</v>
      </c>
      <c r="B34" s="176" t="s">
        <v>244</v>
      </c>
      <c r="C34" s="660">
        <f>[24]CONSOLIDADO!B341</f>
        <v>1</v>
      </c>
      <c r="D34" s="654">
        <f>[24]CONSOLIDADO!C341</f>
        <v>1</v>
      </c>
      <c r="E34" s="651" t="str">
        <f>[24]CONSOLIDADO!D341</f>
        <v>Actividades de Gestión</v>
      </c>
      <c r="F34" s="652" t="str">
        <f>[24]CONSOLIDADO!E341</f>
        <v>Actividades de Gestión</v>
      </c>
      <c r="G34" s="734" t="s">
        <v>180</v>
      </c>
    </row>
    <row r="35" spans="1:7" ht="63.75" x14ac:dyDescent="0.25">
      <c r="A35" s="78">
        <v>32</v>
      </c>
      <c r="B35" s="178" t="s">
        <v>245</v>
      </c>
      <c r="C35" s="658">
        <f>[24]CONSOLIDADO!B342</f>
        <v>4</v>
      </c>
      <c r="D35" s="654">
        <f>[24]CONSOLIDADO!C342</f>
        <v>0.97</v>
      </c>
      <c r="E35" s="659">
        <f>[24]CONSOLIDADO!D342</f>
        <v>116800000</v>
      </c>
      <c r="F35" s="652">
        <f>[24]CONSOLIDADO!E342</f>
        <v>83310727.599999994</v>
      </c>
      <c r="G35" s="376">
        <f t="shared" si="0"/>
        <v>0.71327677739726025</v>
      </c>
    </row>
    <row r="36" spans="1:7" ht="63.75" x14ac:dyDescent="0.25">
      <c r="A36" s="78">
        <v>33</v>
      </c>
      <c r="B36" s="178" t="s">
        <v>246</v>
      </c>
      <c r="C36" s="658">
        <f>[24]CONSOLIDADO!B343</f>
        <v>3</v>
      </c>
      <c r="D36" s="654">
        <f>[24]CONSOLIDADO!C343</f>
        <v>1</v>
      </c>
      <c r="E36" s="651">
        <f>[24]CONSOLIDADO!D343</f>
        <v>599270579</v>
      </c>
      <c r="F36" s="652">
        <f>[24]CONSOLIDADO!E343</f>
        <v>583284643.92999995</v>
      </c>
      <c r="G36" s="376">
        <f t="shared" si="0"/>
        <v>0.97332434524538869</v>
      </c>
    </row>
    <row r="37" spans="1:7" ht="76.5" x14ac:dyDescent="0.25">
      <c r="A37" s="78">
        <v>34</v>
      </c>
      <c r="B37" s="178" t="s">
        <v>247</v>
      </c>
      <c r="C37" s="658">
        <f>[24]CONSOLIDADO!B344</f>
        <v>4</v>
      </c>
      <c r="D37" s="654">
        <f>[24]CONSOLIDADO!C344</f>
        <v>1</v>
      </c>
      <c r="E37" s="651">
        <f>[24]CONSOLIDADO!D344</f>
        <v>1087851456</v>
      </c>
      <c r="F37" s="652">
        <f>[24]CONSOLIDADO!E344</f>
        <v>1081260605</v>
      </c>
      <c r="G37" s="376">
        <f t="shared" si="0"/>
        <v>0.99394140536040243</v>
      </c>
    </row>
    <row r="38" spans="1:7" ht="51" x14ac:dyDescent="0.25">
      <c r="A38" s="78">
        <v>35</v>
      </c>
      <c r="B38" s="178" t="s">
        <v>248</v>
      </c>
      <c r="C38" s="658">
        <f>[24]CONSOLIDADO!B345</f>
        <v>2</v>
      </c>
      <c r="D38" s="654">
        <f>[24]CONSOLIDADO!C345</f>
        <v>1</v>
      </c>
      <c r="E38" s="651">
        <f>[24]CONSOLIDADO!D345</f>
        <v>120000000</v>
      </c>
      <c r="F38" s="652">
        <f>[24]CONSOLIDADO!E345</f>
        <v>119008600.84</v>
      </c>
      <c r="G38" s="376">
        <f t="shared" si="0"/>
        <v>0.99173834033333341</v>
      </c>
    </row>
    <row r="39" spans="1:7" ht="51" x14ac:dyDescent="0.25">
      <c r="A39" s="78">
        <v>36</v>
      </c>
      <c r="B39" s="178" t="s">
        <v>249</v>
      </c>
      <c r="C39" s="655">
        <f>[24]CONSOLIDADO!B346</f>
        <v>7</v>
      </c>
      <c r="D39" s="654">
        <f>[24]CONSOLIDADO!C346</f>
        <v>0.75</v>
      </c>
      <c r="E39" s="651" t="str">
        <f>[24]CONSOLIDADO!D346</f>
        <v>Actividades de Gestión</v>
      </c>
      <c r="F39" s="652" t="str">
        <f>[24]CONSOLIDADO!E346</f>
        <v>Actividades de Gestión</v>
      </c>
      <c r="G39" s="734" t="s">
        <v>180</v>
      </c>
    </row>
    <row r="40" spans="1:7" ht="51" x14ac:dyDescent="0.25">
      <c r="A40" s="78">
        <v>37</v>
      </c>
      <c r="B40" s="178" t="s">
        <v>250</v>
      </c>
      <c r="C40" s="655">
        <f>[24]CONSOLIDADO!B347</f>
        <v>3</v>
      </c>
      <c r="D40" s="654">
        <f>[24]CONSOLIDADO!C347</f>
        <v>1</v>
      </c>
      <c r="E40" s="651" t="str">
        <f>[24]CONSOLIDADO!D347</f>
        <v xml:space="preserve">Actividades de Gestión </v>
      </c>
      <c r="F40" s="652" t="str">
        <f>[24]CONSOLIDADO!E347</f>
        <v xml:space="preserve">Actividades de Gestión </v>
      </c>
      <c r="G40" s="734" t="s">
        <v>180</v>
      </c>
    </row>
    <row r="41" spans="1:7" ht="63.75" x14ac:dyDescent="0.25">
      <c r="A41" s="78">
        <v>38</v>
      </c>
      <c r="B41" s="176" t="s">
        <v>251</v>
      </c>
      <c r="C41" s="655">
        <f>[24]CONSOLIDADO!B348</f>
        <v>1</v>
      </c>
      <c r="D41" s="654">
        <f>[24]CONSOLIDADO!C348</f>
        <v>0.93</v>
      </c>
      <c r="E41" s="651">
        <f>[24]CONSOLIDADO!D348</f>
        <v>35000000</v>
      </c>
      <c r="F41" s="652">
        <f>[24]CONSOLIDADO!E348</f>
        <v>30783300</v>
      </c>
      <c r="G41" s="376">
        <f t="shared" si="0"/>
        <v>0.87952285714285716</v>
      </c>
    </row>
    <row r="42" spans="1:7" ht="51" x14ac:dyDescent="0.25">
      <c r="A42" s="78">
        <v>39</v>
      </c>
      <c r="B42" s="178" t="s">
        <v>252</v>
      </c>
      <c r="C42" s="655">
        <f>[24]CONSOLIDADO!B349</f>
        <v>2</v>
      </c>
      <c r="D42" s="654">
        <f>[24]CONSOLIDADO!C349</f>
        <v>0.97</v>
      </c>
      <c r="E42" s="651">
        <f>[24]CONSOLIDADO!D349</f>
        <v>35000000</v>
      </c>
      <c r="F42" s="652">
        <f>[24]CONSOLIDADO!E349</f>
        <v>30783300</v>
      </c>
      <c r="G42" s="376">
        <f t="shared" si="0"/>
        <v>0.87952285714285716</v>
      </c>
    </row>
    <row r="43" spans="1:7" ht="51" x14ac:dyDescent="0.25">
      <c r="A43" s="78">
        <v>40</v>
      </c>
      <c r="B43" s="178" t="s">
        <v>253</v>
      </c>
      <c r="C43" s="655">
        <f>[24]CONSOLIDADO!B350</f>
        <v>2</v>
      </c>
      <c r="D43" s="654">
        <f>[24]CONSOLIDADO!C350</f>
        <v>1</v>
      </c>
      <c r="E43" s="651">
        <f>[24]CONSOLIDADO!D350</f>
        <v>230000000</v>
      </c>
      <c r="F43" s="652">
        <f>[24]CONSOLIDADO!E350</f>
        <v>202190800</v>
      </c>
      <c r="G43" s="376">
        <f t="shared" si="0"/>
        <v>0.87909043478260873</v>
      </c>
    </row>
    <row r="44" spans="1:7" ht="63.75" x14ac:dyDescent="0.25">
      <c r="A44" s="78">
        <v>41</v>
      </c>
      <c r="B44" s="178" t="s">
        <v>254</v>
      </c>
      <c r="C44" s="655">
        <f>[24]CONSOLIDADO!B351</f>
        <v>2</v>
      </c>
      <c r="D44" s="654">
        <f>[24]CONSOLIDADO!C351</f>
        <v>0.9</v>
      </c>
      <c r="E44" s="651">
        <f>[24]CONSOLIDADO!D351</f>
        <v>24135603</v>
      </c>
      <c r="F44" s="652">
        <f>[24]CONSOLIDADO!E351</f>
        <v>22709904</v>
      </c>
      <c r="G44" s="376">
        <f t="shared" si="0"/>
        <v>0.94092962997444063</v>
      </c>
    </row>
    <row r="45" spans="1:7" ht="63.75" x14ac:dyDescent="0.25">
      <c r="A45" s="78">
        <v>42</v>
      </c>
      <c r="B45" s="176" t="s">
        <v>255</v>
      </c>
      <c r="C45" s="655">
        <f>[24]CONSOLIDADO!B352</f>
        <v>1</v>
      </c>
      <c r="D45" s="654">
        <f>[24]CONSOLIDADO!C352</f>
        <v>1</v>
      </c>
      <c r="E45" s="651" t="str">
        <f>[24]CONSOLIDADO!D352</f>
        <v xml:space="preserve">Actividades de Gestión </v>
      </c>
      <c r="F45" s="652" t="str">
        <f>[24]CONSOLIDADO!E352</f>
        <v xml:space="preserve">Actividades de Gestión </v>
      </c>
      <c r="G45" s="733" t="str">
        <f>$F$45</f>
        <v xml:space="preserve">Actividades de Gestión </v>
      </c>
    </row>
    <row r="46" spans="1:7" ht="51" x14ac:dyDescent="0.25">
      <c r="A46" s="78">
        <v>43</v>
      </c>
      <c r="B46" s="178" t="s">
        <v>256</v>
      </c>
      <c r="C46" s="655">
        <f>[24]CONSOLIDADO!B353</f>
        <v>3</v>
      </c>
      <c r="D46" s="654">
        <f>[24]CONSOLIDADO!C353</f>
        <v>0.99199999999999999</v>
      </c>
      <c r="E46" s="651" t="str">
        <f>[24]CONSOLIDADO!D353</f>
        <v xml:space="preserve">Actividades de Gestión </v>
      </c>
      <c r="F46" s="651" t="str">
        <f>[24]CONSOLIDADO!E353</f>
        <v xml:space="preserve">Actividades de Gestión </v>
      </c>
      <c r="G46" s="734" t="s">
        <v>180</v>
      </c>
    </row>
    <row r="47" spans="1:7" ht="63.75" x14ac:dyDescent="0.25">
      <c r="A47" s="78">
        <v>44</v>
      </c>
      <c r="B47" s="176" t="s">
        <v>257</v>
      </c>
      <c r="C47" s="655">
        <f>[24]CONSOLIDADO!B354</f>
        <v>1</v>
      </c>
      <c r="D47" s="654">
        <f>[24]CONSOLIDADO!C354</f>
        <v>0.93330000000000002</v>
      </c>
      <c r="E47" s="651" t="str">
        <f>[24]CONSOLIDADO!D354</f>
        <v xml:space="preserve">Actividades de Gestión </v>
      </c>
      <c r="F47" s="651" t="str">
        <f>[24]CONSOLIDADO!E354</f>
        <v xml:space="preserve">Actividades de Gestión </v>
      </c>
      <c r="G47" s="734" t="s">
        <v>180</v>
      </c>
    </row>
    <row r="48" spans="1:7" ht="74.099999999999994" customHeight="1" x14ac:dyDescent="0.25">
      <c r="A48" s="78">
        <v>45</v>
      </c>
      <c r="B48" s="176" t="s">
        <v>258</v>
      </c>
      <c r="C48" s="655">
        <f>[24]CONSOLIDADO!B355</f>
        <v>1</v>
      </c>
      <c r="D48" s="654">
        <f>[24]CONSOLIDADO!C355</f>
        <v>1</v>
      </c>
      <c r="E48" s="651" t="str">
        <f>[24]CONSOLIDADO!D355</f>
        <v xml:space="preserve">Actividades de Gestión </v>
      </c>
      <c r="F48" s="651" t="str">
        <f>[24]CONSOLIDADO!E355</f>
        <v xml:space="preserve">Actividades de Gestión </v>
      </c>
      <c r="G48" s="734" t="s">
        <v>180</v>
      </c>
    </row>
    <row r="49" spans="1:7" ht="51" x14ac:dyDescent="0.25">
      <c r="A49" s="78">
        <v>46</v>
      </c>
      <c r="B49" s="176" t="s">
        <v>259</v>
      </c>
      <c r="C49" s="655">
        <f>[24]CONSOLIDADO!B356</f>
        <v>1</v>
      </c>
      <c r="D49" s="654">
        <f>[24]CONSOLIDADO!C356</f>
        <v>0.92589999999999995</v>
      </c>
      <c r="E49" s="651" t="str">
        <f>[24]CONSOLIDADO!D356</f>
        <v xml:space="preserve">Actividades de Gestión </v>
      </c>
      <c r="F49" s="651" t="str">
        <f>[24]CONSOLIDADO!E356</f>
        <v xml:space="preserve">Actividades de Gestión </v>
      </c>
      <c r="G49" s="734" t="s">
        <v>180</v>
      </c>
    </row>
    <row r="50" spans="1:7" ht="51" x14ac:dyDescent="0.25">
      <c r="A50" s="78">
        <v>47</v>
      </c>
      <c r="B50" s="178" t="s">
        <v>260</v>
      </c>
      <c r="C50" s="655">
        <f>[24]CONSOLIDADO!B357</f>
        <v>6</v>
      </c>
      <c r="D50" s="654">
        <f>[24]CONSOLIDADO!C357</f>
        <v>0.999</v>
      </c>
      <c r="E50" s="651" t="str">
        <f>[24]CONSOLIDADO!D357</f>
        <v xml:space="preserve">Actividades de Gestión </v>
      </c>
      <c r="F50" s="651" t="str">
        <f>[24]CONSOLIDADO!E357</f>
        <v xml:space="preserve">Actividades de Gestión </v>
      </c>
      <c r="G50" s="734" t="s">
        <v>180</v>
      </c>
    </row>
    <row r="51" spans="1:7" ht="76.5" x14ac:dyDescent="0.25">
      <c r="A51" s="78">
        <v>48</v>
      </c>
      <c r="B51" s="176" t="s">
        <v>261</v>
      </c>
      <c r="C51" s="661">
        <f>[24]CONSOLIDADO!B358</f>
        <v>1</v>
      </c>
      <c r="D51" s="654">
        <f>[24]CONSOLIDADO!C358</f>
        <v>0.97060000000000002</v>
      </c>
      <c r="E51" s="651" t="str">
        <f>[24]CONSOLIDADO!D358</f>
        <v xml:space="preserve">Actividades de Gestión </v>
      </c>
      <c r="F51" s="651" t="str">
        <f>[24]CONSOLIDADO!E358</f>
        <v xml:space="preserve">Actividades de Gestión </v>
      </c>
      <c r="G51" s="734" t="s">
        <v>180</v>
      </c>
    </row>
    <row r="52" spans="1:7" ht="51" x14ac:dyDescent="0.25">
      <c r="A52" s="78">
        <v>49</v>
      </c>
      <c r="B52" s="178" t="s">
        <v>262</v>
      </c>
      <c r="C52" s="655">
        <f>[24]CONSOLIDADO!B359</f>
        <v>10</v>
      </c>
      <c r="D52" s="654">
        <f>[24]CONSOLIDADO!C359</f>
        <v>0.87890000000000001</v>
      </c>
      <c r="E52" s="651">
        <f>[24]CONSOLIDADO!D359</f>
        <v>96094311</v>
      </c>
      <c r="F52" s="652">
        <f>[24]CONSOLIDADO!E359</f>
        <v>93283333</v>
      </c>
      <c r="G52" s="376">
        <f t="shared" si="0"/>
        <v>0.97074771679251648</v>
      </c>
    </row>
    <row r="53" spans="1:7" ht="51" x14ac:dyDescent="0.25">
      <c r="A53" s="78">
        <v>50</v>
      </c>
      <c r="B53" s="178" t="s">
        <v>263</v>
      </c>
      <c r="C53" s="653">
        <f>[24]CONSOLIDADO!B360</f>
        <v>4</v>
      </c>
      <c r="D53" s="654">
        <f>[24]CONSOLIDADO!C360</f>
        <v>1</v>
      </c>
      <c r="E53" s="651">
        <f>[24]CONSOLIDADO!D360</f>
        <v>20700000</v>
      </c>
      <c r="F53" s="652">
        <f>[24]CONSOLIDADO!E360</f>
        <v>16895428</v>
      </c>
      <c r="G53" s="376">
        <f t="shared" si="0"/>
        <v>0.81620425120772944</v>
      </c>
    </row>
    <row r="54" spans="1:7" ht="74.099999999999994" customHeight="1" x14ac:dyDescent="0.25">
      <c r="A54" s="78">
        <v>51</v>
      </c>
      <c r="B54" s="178" t="s">
        <v>264</v>
      </c>
      <c r="C54" s="662">
        <f>[24]CONSOLIDADO!B361</f>
        <v>2</v>
      </c>
      <c r="D54" s="654">
        <f>[24]CONSOLIDADO!C361</f>
        <v>1</v>
      </c>
      <c r="E54" s="651">
        <f>[24]CONSOLIDADO!D361</f>
        <v>105000000</v>
      </c>
      <c r="F54" s="652">
        <f>[24]CONSOLIDADO!E361</f>
        <v>74390966</v>
      </c>
      <c r="G54" s="376">
        <f t="shared" si="0"/>
        <v>0.70848539047619052</v>
      </c>
    </row>
    <row r="55" spans="1:7" ht="51" x14ac:dyDescent="0.25">
      <c r="A55" s="78">
        <v>52</v>
      </c>
      <c r="B55" s="178" t="s">
        <v>265</v>
      </c>
      <c r="C55" s="653">
        <f>[24]CONSOLIDADO!B362</f>
        <v>4</v>
      </c>
      <c r="D55" s="654">
        <f>[24]CONSOLIDADO!C362</f>
        <v>1</v>
      </c>
      <c r="E55" s="651">
        <f>[24]CONSOLIDADO!D362</f>
        <v>400000000</v>
      </c>
      <c r="F55" s="652">
        <f>[24]CONSOLIDADO!E362</f>
        <v>347999899</v>
      </c>
      <c r="G55" s="376">
        <f t="shared" si="0"/>
        <v>0.86999974749999998</v>
      </c>
    </row>
    <row r="56" spans="1:7" ht="51" x14ac:dyDescent="0.25">
      <c r="A56" s="78">
        <v>53</v>
      </c>
      <c r="B56" s="176" t="s">
        <v>266</v>
      </c>
      <c r="C56" s="653">
        <f>[24]CONSOLIDADO!B363</f>
        <v>1</v>
      </c>
      <c r="D56" s="654">
        <f>[24]CONSOLIDADO!C363</f>
        <v>1</v>
      </c>
      <c r="E56" s="651">
        <f>[24]CONSOLIDADO!D363</f>
        <v>50000000</v>
      </c>
      <c r="F56" s="652">
        <f>[24]CONSOLIDADO!E363</f>
        <v>45344757</v>
      </c>
      <c r="G56" s="376">
        <f t="shared" si="0"/>
        <v>0.90689514000000004</v>
      </c>
    </row>
    <row r="57" spans="1:7" ht="60" customHeight="1" x14ac:dyDescent="0.25">
      <c r="A57" s="78">
        <v>54</v>
      </c>
      <c r="B57" s="178" t="s">
        <v>267</v>
      </c>
      <c r="C57" s="663">
        <f>[24]CONSOLIDADO!B364</f>
        <v>4</v>
      </c>
      <c r="D57" s="654">
        <f>[24]CONSOLIDADO!C364</f>
        <v>0.91779999999999995</v>
      </c>
      <c r="E57" s="651">
        <f>[24]CONSOLIDADO!D364</f>
        <v>978168396.83000004</v>
      </c>
      <c r="F57" s="652">
        <f>[24]CONSOLIDADO!E364</f>
        <v>874045071.42999995</v>
      </c>
      <c r="G57" s="376">
        <f t="shared" si="0"/>
        <v>0.89355276071335177</v>
      </c>
    </row>
    <row r="58" spans="1:7" ht="63.75" x14ac:dyDescent="0.25">
      <c r="A58" s="78">
        <v>55</v>
      </c>
      <c r="B58" s="176" t="s">
        <v>268</v>
      </c>
      <c r="C58" s="653">
        <f>[24]CONSOLIDADO!B365</f>
        <v>1</v>
      </c>
      <c r="D58" s="654">
        <f>[24]CONSOLIDADO!C365</f>
        <v>1</v>
      </c>
      <c r="E58" s="651">
        <f>[24]CONSOLIDADO!D365</f>
        <v>1050000000</v>
      </c>
      <c r="F58" s="652">
        <f>[24]CONSOLIDADO!E365</f>
        <v>939427403</v>
      </c>
      <c r="G58" s="376">
        <f t="shared" si="0"/>
        <v>0.89469276476190474</v>
      </c>
    </row>
    <row r="59" spans="1:7" ht="51" x14ac:dyDescent="0.25">
      <c r="A59" s="78">
        <v>56</v>
      </c>
      <c r="B59" s="178" t="s">
        <v>269</v>
      </c>
      <c r="C59" s="655">
        <f>[24]CONSOLIDADO!B366</f>
        <v>2</v>
      </c>
      <c r="D59" s="654">
        <f>[24]CONSOLIDADO!C366</f>
        <v>0.9</v>
      </c>
      <c r="E59" s="651" t="str">
        <f>[24]CONSOLIDADO!D366</f>
        <v xml:space="preserve">Actividades de Gestión </v>
      </c>
      <c r="F59" s="652" t="str">
        <f>[24]CONSOLIDADO!E366</f>
        <v xml:space="preserve">Actividades de Gestión </v>
      </c>
      <c r="G59" s="734" t="str">
        <f>+F59</f>
        <v xml:space="preserve">Actividades de Gestión </v>
      </c>
    </row>
    <row r="60" spans="1:7" ht="51.75" thickBot="1" x14ac:dyDescent="0.3">
      <c r="A60" s="78">
        <v>57</v>
      </c>
      <c r="B60" s="177" t="s">
        <v>270</v>
      </c>
      <c r="C60" s="664">
        <f>[24]CONSOLIDADO!B367</f>
        <v>1</v>
      </c>
      <c r="D60" s="665">
        <f>[24]CONSOLIDADO!C367</f>
        <v>0.6</v>
      </c>
      <c r="E60" s="666" t="str">
        <f>[24]CONSOLIDADO!D367</f>
        <v xml:space="preserve">Actividades de Gestión </v>
      </c>
      <c r="F60" s="667" t="str">
        <f>[24]CONSOLIDADO!E367</f>
        <v xml:space="preserve">Actividades de Gestión </v>
      </c>
      <c r="G60" s="735" t="str">
        <f>+F60</f>
        <v xml:space="preserve">Actividades de Gestión </v>
      </c>
    </row>
    <row r="61" spans="1:7" ht="23.25" customHeight="1" thickBot="1" x14ac:dyDescent="0.3">
      <c r="B61" s="182" t="s">
        <v>0</v>
      </c>
      <c r="C61" s="668">
        <f>SUM(C4:C60)</f>
        <v>138</v>
      </c>
      <c r="D61" s="617">
        <f>SUM(D4:D60)/57</f>
        <v>0.94206140350877188</v>
      </c>
      <c r="E61" s="669">
        <f>SUM(E4:E60)</f>
        <v>31247945167.130001</v>
      </c>
      <c r="F61" s="669">
        <f>SUM(F4:F60)</f>
        <v>29508866411.93</v>
      </c>
      <c r="G61" s="670">
        <f>F61/E61</f>
        <v>0.94434582031239123</v>
      </c>
    </row>
    <row r="62" spans="1:7" hidden="1" x14ac:dyDescent="0.25">
      <c r="B62" s="25"/>
      <c r="C62" s="210"/>
      <c r="D62" s="211">
        <v>1</v>
      </c>
      <c r="E62" s="212"/>
      <c r="F62" s="212"/>
      <c r="G62" s="211">
        <v>1</v>
      </c>
    </row>
    <row r="63" spans="1:7" hidden="1" x14ac:dyDescent="0.25">
      <c r="B63" s="213"/>
      <c r="C63" s="213"/>
      <c r="D63" s="211">
        <v>0</v>
      </c>
      <c r="E63" s="213"/>
      <c r="F63" s="214"/>
      <c r="G63" s="211">
        <v>0</v>
      </c>
    </row>
    <row r="64" spans="1:7" ht="15.75" thickBot="1" x14ac:dyDescent="0.3">
      <c r="B64" s="59"/>
      <c r="C64" s="59"/>
      <c r="D64" s="59"/>
      <c r="E64" s="9"/>
      <c r="F64" s="9"/>
      <c r="G64" s="1"/>
    </row>
    <row r="65" spans="2:8" ht="15.75" thickBot="1" x14ac:dyDescent="0.3">
      <c r="B65" s="59"/>
      <c r="C65" s="59"/>
      <c r="D65" s="59"/>
      <c r="E65" s="789" t="s">
        <v>16</v>
      </c>
      <c r="F65" s="790"/>
      <c r="G65" s="791"/>
    </row>
    <row r="66" spans="2:8" ht="15.75" thickBot="1" x14ac:dyDescent="0.3">
      <c r="B66" s="59"/>
      <c r="C66" s="59"/>
      <c r="D66" s="59"/>
      <c r="E66" s="671" t="s">
        <v>13</v>
      </c>
      <c r="F66" s="672" t="s">
        <v>14</v>
      </c>
      <c r="G66" s="673" t="s">
        <v>15</v>
      </c>
    </row>
    <row r="67" spans="2:8" x14ac:dyDescent="0.25">
      <c r="B67" s="59"/>
      <c r="C67" s="59"/>
      <c r="D67" s="59"/>
      <c r="E67" s="674" t="s">
        <v>345</v>
      </c>
      <c r="F67" s="675">
        <v>116</v>
      </c>
      <c r="G67" s="676">
        <f>F67/F70</f>
        <v>0.84057971014492749</v>
      </c>
    </row>
    <row r="68" spans="2:8" x14ac:dyDescent="0.25">
      <c r="B68" s="59"/>
      <c r="C68" s="59"/>
      <c r="D68" s="59"/>
      <c r="E68" s="677" t="s">
        <v>346</v>
      </c>
      <c r="F68" s="678">
        <v>12</v>
      </c>
      <c r="G68" s="676">
        <f>F68/F70</f>
        <v>8.6956521739130432E-2</v>
      </c>
    </row>
    <row r="69" spans="2:8" ht="15.75" thickBot="1" x14ac:dyDescent="0.3">
      <c r="B69" s="59"/>
      <c r="C69" s="59"/>
      <c r="D69" s="59"/>
      <c r="E69" s="679" t="s">
        <v>344</v>
      </c>
      <c r="F69" s="680">
        <v>10</v>
      </c>
      <c r="G69" s="676">
        <f>F69/F70</f>
        <v>7.2463768115942032E-2</v>
      </c>
    </row>
    <row r="70" spans="2:8" ht="15.75" thickBot="1" x14ac:dyDescent="0.3">
      <c r="B70" s="59"/>
      <c r="C70" s="59"/>
      <c r="D70" s="59"/>
      <c r="E70" s="681" t="s">
        <v>17</v>
      </c>
      <c r="F70" s="682">
        <f>SUM(F67:F69)</f>
        <v>138</v>
      </c>
      <c r="G70" s="683"/>
      <c r="H70" s="3"/>
    </row>
    <row r="71" spans="2:8" ht="15.75" thickBot="1" x14ac:dyDescent="0.3">
      <c r="E71" s="684"/>
      <c r="F71" s="684"/>
      <c r="G71" s="685"/>
    </row>
    <row r="72" spans="2:8" ht="15.75" thickBot="1" x14ac:dyDescent="0.3">
      <c r="E72" s="786" t="s">
        <v>49</v>
      </c>
      <c r="F72" s="787"/>
      <c r="G72" s="788"/>
    </row>
    <row r="73" spans="2:8" ht="28.5" customHeight="1" thickBot="1" x14ac:dyDescent="0.3">
      <c r="E73" s="671" t="s">
        <v>3</v>
      </c>
      <c r="F73" s="672" t="s">
        <v>4</v>
      </c>
      <c r="G73" s="686" t="s">
        <v>213</v>
      </c>
    </row>
    <row r="74" spans="2:8" ht="15.75" thickBot="1" x14ac:dyDescent="0.3">
      <c r="E74" s="687">
        <f>E61</f>
        <v>31247945167.130001</v>
      </c>
      <c r="F74" s="688">
        <f>F61</f>
        <v>29508866411.93</v>
      </c>
      <c r="G74" s="689">
        <f>F74/E74</f>
        <v>0.94434582031239123</v>
      </c>
    </row>
    <row r="76" spans="2:8" ht="30" customHeight="1" x14ac:dyDescent="0.25"/>
    <row r="95" ht="25.5" customHeight="1" x14ac:dyDescent="0.25"/>
  </sheetData>
  <mergeCells count="3">
    <mergeCell ref="E72:G72"/>
    <mergeCell ref="E65:G65"/>
    <mergeCell ref="B2:G2"/>
  </mergeCells>
  <conditionalFormatting sqref="D61:D63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5:G17 G19:G22 G25 G27:G28 G30:G33 G35:G38 G41:G45 G52:G58 G61:G63">
    <cfRule type="colorScale" priority="8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4:D64"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4:D63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63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G26"/>
  <sheetViews>
    <sheetView view="pageBreakPreview" zoomScale="53" zoomScaleNormal="100" zoomScaleSheetLayoutView="53" workbookViewId="0">
      <selection activeCell="G15" sqref="G15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3" width="20.5703125" style="1" customWidth="1"/>
    <col min="4" max="4" width="25.140625" style="1" customWidth="1"/>
    <col min="5" max="5" width="33.85546875" style="3" customWidth="1"/>
    <col min="6" max="6" width="30" style="3" customWidth="1"/>
    <col min="7" max="7" width="23.8554687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69.75" customHeight="1" thickBot="1" x14ac:dyDescent="0.3">
      <c r="B1" s="758" t="s">
        <v>342</v>
      </c>
      <c r="C1" s="759"/>
      <c r="D1" s="759"/>
      <c r="E1" s="759"/>
      <c r="F1" s="759"/>
      <c r="G1" s="760"/>
    </row>
    <row r="2" spans="1:7" s="2" customFormat="1" ht="84.75" customHeight="1" thickBot="1" x14ac:dyDescent="0.3">
      <c r="B2" s="14" t="s">
        <v>1</v>
      </c>
      <c r="C2" s="170" t="s">
        <v>54</v>
      </c>
      <c r="D2" s="170" t="s">
        <v>62</v>
      </c>
      <c r="E2" s="171" t="s">
        <v>56</v>
      </c>
      <c r="F2" s="172" t="s">
        <v>57</v>
      </c>
      <c r="G2" s="173" t="s">
        <v>55</v>
      </c>
    </row>
    <row r="3" spans="1:7" s="2" customFormat="1" ht="45.75" customHeight="1" thickBot="1" x14ac:dyDescent="0.3">
      <c r="A3" s="4">
        <v>1</v>
      </c>
      <c r="B3" s="585" t="s">
        <v>183</v>
      </c>
      <c r="C3" s="474">
        <v>0</v>
      </c>
      <c r="D3" s="388">
        <f>[25]CONSOLIDADO!E20</f>
        <v>0.37</v>
      </c>
      <c r="E3" s="690">
        <f>[25]CONSOLIDADO!F20</f>
        <v>6377059968.3800001</v>
      </c>
      <c r="F3" s="690">
        <f>[25]CONSOLIDADO!G20</f>
        <v>2202683669.8299999</v>
      </c>
      <c r="G3" s="409">
        <f>F3/E3</f>
        <v>0.34540739474801579</v>
      </c>
    </row>
    <row r="4" spans="1:7" s="2" customFormat="1" ht="41.25" customHeight="1" thickBot="1" x14ac:dyDescent="0.3">
      <c r="A4" s="4">
        <v>2</v>
      </c>
      <c r="B4" s="587" t="s">
        <v>184</v>
      </c>
      <c r="C4" s="373">
        <v>1</v>
      </c>
      <c r="D4" s="392">
        <f>[25]CONSOLIDADO!E21</f>
        <v>0.2</v>
      </c>
      <c r="E4" s="375">
        <f>[25]CONSOLIDADO!F21</f>
        <v>7294294932.4300003</v>
      </c>
      <c r="F4" s="375">
        <f>[25]CONSOLIDADO!G21</f>
        <v>0</v>
      </c>
      <c r="G4" s="409">
        <f>F4/E4</f>
        <v>0</v>
      </c>
    </row>
    <row r="5" spans="1:7" s="2" customFormat="1" ht="45.75" customHeight="1" thickBot="1" x14ac:dyDescent="0.3">
      <c r="A5" s="4">
        <v>3</v>
      </c>
      <c r="B5" s="587" t="s">
        <v>185</v>
      </c>
      <c r="C5" s="373">
        <v>1</v>
      </c>
      <c r="D5" s="392">
        <f>[25]CONSOLIDADO!E22</f>
        <v>0.3</v>
      </c>
      <c r="E5" s="375">
        <f>[25]CONSOLIDADO!F22</f>
        <v>3000000000</v>
      </c>
      <c r="F5" s="375">
        <f>[25]CONSOLIDADO!G22</f>
        <v>0</v>
      </c>
      <c r="G5" s="409">
        <f t="shared" ref="G5:G11" si="0">F5/E5</f>
        <v>0</v>
      </c>
    </row>
    <row r="6" spans="1:7" s="2" customFormat="1" ht="55.5" customHeight="1" thickBot="1" x14ac:dyDescent="0.3">
      <c r="A6" s="4">
        <v>4</v>
      </c>
      <c r="B6" s="587" t="s">
        <v>186</v>
      </c>
      <c r="C6" s="373">
        <v>1</v>
      </c>
      <c r="D6" s="392">
        <f>[25]CONSOLIDADO!E23</f>
        <v>1</v>
      </c>
      <c r="E6" s="375">
        <f>[25]CONSOLIDADO!F23</f>
        <v>4961807</v>
      </c>
      <c r="F6" s="375">
        <f>[25]CONSOLIDADO!G23</f>
        <v>4961807</v>
      </c>
      <c r="G6" s="409">
        <f t="shared" si="0"/>
        <v>1</v>
      </c>
    </row>
    <row r="7" spans="1:7" s="2" customFormat="1" ht="42.75" customHeight="1" thickBot="1" x14ac:dyDescent="0.3">
      <c r="A7" s="4">
        <v>5</v>
      </c>
      <c r="B7" s="640" t="s">
        <v>187</v>
      </c>
      <c r="C7" s="691">
        <v>1</v>
      </c>
      <c r="D7" s="392">
        <f>[25]CONSOLIDADO!E24</f>
        <v>1</v>
      </c>
      <c r="E7" s="375">
        <f>[25]CONSOLIDADO!F24</f>
        <v>5283864217</v>
      </c>
      <c r="F7" s="375">
        <f>[25]CONSOLIDADO!G24</f>
        <v>5061211442</v>
      </c>
      <c r="G7" s="409">
        <f t="shared" si="0"/>
        <v>0.9578617530928123</v>
      </c>
    </row>
    <row r="8" spans="1:7" s="2" customFormat="1" ht="44.25" customHeight="1" thickBot="1" x14ac:dyDescent="0.3">
      <c r="A8" s="4">
        <v>6</v>
      </c>
      <c r="B8" s="587" t="s">
        <v>188</v>
      </c>
      <c r="C8" s="373">
        <v>1</v>
      </c>
      <c r="D8" s="392">
        <f>[25]CONSOLIDADO!E25</f>
        <v>0.88461538461538458</v>
      </c>
      <c r="E8" s="375">
        <f>[25]CONSOLIDADO!F25</f>
        <v>3482435788.9099998</v>
      </c>
      <c r="F8" s="375">
        <f>[25]CONSOLIDADO!G25</f>
        <v>2793229787.0999999</v>
      </c>
      <c r="G8" s="409">
        <f t="shared" si="0"/>
        <v>0.80209082274975096</v>
      </c>
    </row>
    <row r="9" spans="1:7" s="2" customFormat="1" ht="62.25" customHeight="1" thickBot="1" x14ac:dyDescent="0.3">
      <c r="A9" s="4">
        <v>7</v>
      </c>
      <c r="B9" s="587" t="s">
        <v>186</v>
      </c>
      <c r="C9" s="373">
        <v>1</v>
      </c>
      <c r="D9" s="392">
        <f>[25]CONSOLIDADO!E26</f>
        <v>1</v>
      </c>
      <c r="E9" s="375">
        <f>[25]CONSOLIDADO!F26</f>
        <v>2225188266.48</v>
      </c>
      <c r="F9" s="375">
        <f>[25]CONSOLIDADO!G26</f>
        <v>1378608935.02</v>
      </c>
      <c r="G9" s="409">
        <f t="shared" si="0"/>
        <v>0.61954709890718851</v>
      </c>
    </row>
    <row r="10" spans="1:7" s="2" customFormat="1" ht="58.5" customHeight="1" thickBot="1" x14ac:dyDescent="0.3">
      <c r="A10" s="4">
        <v>8</v>
      </c>
      <c r="B10" s="587" t="s">
        <v>189</v>
      </c>
      <c r="C10" s="373">
        <v>1</v>
      </c>
      <c r="D10" s="398">
        <f>[25]CONSOLIDADO!E27</f>
        <v>0.25</v>
      </c>
      <c r="E10" s="375">
        <f>[25]CONSOLIDADO!F27</f>
        <v>12829438530</v>
      </c>
      <c r="F10" s="375">
        <f>[25]CONSOLIDADO!G27</f>
        <v>1808636092.99</v>
      </c>
      <c r="G10" s="409">
        <f t="shared" si="0"/>
        <v>0.14097546738002104</v>
      </c>
    </row>
    <row r="11" spans="1:7" s="2" customFormat="1" ht="32.1" customHeight="1" thickBot="1" x14ac:dyDescent="0.3">
      <c r="A11" s="4">
        <v>9</v>
      </c>
      <c r="B11" s="592" t="s">
        <v>190</v>
      </c>
      <c r="C11" s="378">
        <v>1</v>
      </c>
      <c r="D11" s="692">
        <f>[25]CONSOLIDADO!E28</f>
        <v>1</v>
      </c>
      <c r="E11" s="693">
        <f>[25]CONSOLIDADO!F28</f>
        <v>1460909531</v>
      </c>
      <c r="F11" s="693">
        <f>[25]CONSOLIDADO!G28</f>
        <v>755932528</v>
      </c>
      <c r="G11" s="409">
        <f t="shared" si="0"/>
        <v>0.51743965793868174</v>
      </c>
    </row>
    <row r="12" spans="1:7" s="2" customFormat="1" ht="30.75" customHeight="1" thickBot="1" x14ac:dyDescent="0.3">
      <c r="A12" s="4"/>
      <c r="B12" s="626" t="s">
        <v>0</v>
      </c>
      <c r="C12" s="516">
        <v>9</v>
      </c>
      <c r="D12" s="517">
        <f>SUM(D3:D11)/9</f>
        <v>0.66717948717948716</v>
      </c>
      <c r="E12" s="694">
        <f>SUM(E3:E11)</f>
        <v>41958153041.199997</v>
      </c>
      <c r="F12" s="694">
        <f>SUM(F3:F11)</f>
        <v>14005264261.940001</v>
      </c>
      <c r="G12" s="409">
        <f>F12/E12</f>
        <v>0.33379124786993847</v>
      </c>
    </row>
    <row r="13" spans="1:7" s="2" customFormat="1" ht="19.5" hidden="1" customHeight="1" thickBot="1" x14ac:dyDescent="0.3">
      <c r="A13" s="4"/>
      <c r="B13" s="123"/>
      <c r="C13" s="99"/>
      <c r="D13" s="107">
        <v>1</v>
      </c>
      <c r="E13" s="127"/>
      <c r="F13" s="127"/>
      <c r="G13" s="166">
        <v>1</v>
      </c>
    </row>
    <row r="14" spans="1:7" s="2" customFormat="1" ht="19.5" hidden="1" customHeight="1" x14ac:dyDescent="0.25">
      <c r="A14" s="4"/>
      <c r="B14" s="123"/>
      <c r="C14" s="99"/>
      <c r="D14" s="107">
        <v>0</v>
      </c>
      <c r="E14" s="127"/>
      <c r="F14" s="127"/>
      <c r="G14" s="166">
        <v>0</v>
      </c>
    </row>
    <row r="15" spans="1:7" ht="15.75" customHeight="1" x14ac:dyDescent="0.25">
      <c r="B15" s="15"/>
      <c r="C15" s="15"/>
      <c r="D15" s="15"/>
      <c r="E15" s="16"/>
      <c r="F15" s="16"/>
      <c r="G15" s="15"/>
    </row>
    <row r="16" spans="1:7" ht="15.75" thickBot="1" x14ac:dyDescent="0.3">
      <c r="B16" s="2"/>
      <c r="C16" s="2"/>
      <c r="D16" s="2"/>
    </row>
    <row r="17" spans="1:7" s="2" customFormat="1" ht="15.75" thickBot="1" x14ac:dyDescent="0.3">
      <c r="A17" s="1"/>
      <c r="E17" s="752" t="s">
        <v>16</v>
      </c>
      <c r="F17" s="753"/>
      <c r="G17" s="754"/>
    </row>
    <row r="18" spans="1:7" s="2" customFormat="1" x14ac:dyDescent="0.25">
      <c r="A18" s="1"/>
      <c r="E18" s="695" t="s">
        <v>13</v>
      </c>
      <c r="F18" s="696" t="s">
        <v>14</v>
      </c>
      <c r="G18" s="697" t="s">
        <v>15</v>
      </c>
    </row>
    <row r="19" spans="1:7" s="2" customFormat="1" x14ac:dyDescent="0.25">
      <c r="A19" s="1"/>
      <c r="B19" s="3"/>
      <c r="C19" s="3"/>
      <c r="D19" s="3"/>
      <c r="E19" s="148" t="s">
        <v>345</v>
      </c>
      <c r="F19" s="698">
        <v>4</v>
      </c>
      <c r="G19" s="406">
        <f>F19/F22</f>
        <v>0.44444444444444442</v>
      </c>
    </row>
    <row r="20" spans="1:7" s="3" customFormat="1" x14ac:dyDescent="0.25">
      <c r="A20" s="1"/>
      <c r="E20" s="150" t="s">
        <v>346</v>
      </c>
      <c r="F20" s="151">
        <v>1</v>
      </c>
      <c r="G20" s="406">
        <f>F20/F22</f>
        <v>0.1111111111111111</v>
      </c>
    </row>
    <row r="21" spans="1:7" s="3" customFormat="1" ht="15.75" thickBot="1" x14ac:dyDescent="0.3">
      <c r="A21" s="1"/>
      <c r="E21" s="152" t="s">
        <v>344</v>
      </c>
      <c r="F21" s="529">
        <v>4</v>
      </c>
      <c r="G21" s="699">
        <f>F21/F22</f>
        <v>0.44444444444444442</v>
      </c>
    </row>
    <row r="22" spans="1:7" s="3" customFormat="1" ht="15.75" thickBot="1" x14ac:dyDescent="0.3">
      <c r="A22" s="1"/>
      <c r="E22" s="700" t="s">
        <v>17</v>
      </c>
      <c r="F22" s="701">
        <f>9</f>
        <v>9</v>
      </c>
      <c r="G22" s="702"/>
    </row>
    <row r="23" spans="1:7" s="3" customFormat="1" ht="15.75" thickBot="1" x14ac:dyDescent="0.3">
      <c r="A23" s="1"/>
      <c r="E23" s="703"/>
      <c r="F23" s="122"/>
      <c r="G23" s="164"/>
    </row>
    <row r="24" spans="1:7" s="3" customFormat="1" ht="15.75" thickBot="1" x14ac:dyDescent="0.3">
      <c r="A24" s="1"/>
      <c r="E24" s="783" t="s">
        <v>275</v>
      </c>
      <c r="F24" s="784"/>
      <c r="G24" s="785"/>
    </row>
    <row r="25" spans="1:7" s="3" customFormat="1" ht="15.75" thickBot="1" x14ac:dyDescent="0.3">
      <c r="A25" s="1"/>
      <c r="B25" s="1"/>
      <c r="C25" s="1"/>
      <c r="D25" s="1"/>
      <c r="E25" s="282" t="s">
        <v>3</v>
      </c>
      <c r="F25" s="280" t="s">
        <v>4</v>
      </c>
      <c r="G25" s="165" t="s">
        <v>213</v>
      </c>
    </row>
    <row r="26" spans="1:7" ht="15.75" thickBot="1" x14ac:dyDescent="0.3">
      <c r="E26" s="631">
        <f>E12</f>
        <v>41958153041.199997</v>
      </c>
      <c r="F26" s="632">
        <f>F12</f>
        <v>14005264261.940001</v>
      </c>
      <c r="G26" s="70">
        <f>F26/E26</f>
        <v>0.33379124786993847</v>
      </c>
    </row>
  </sheetData>
  <mergeCells count="3">
    <mergeCell ref="B1:G1"/>
    <mergeCell ref="E17:G17"/>
    <mergeCell ref="E24:G24"/>
  </mergeCells>
  <conditionalFormatting sqref="D3:D14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ile" val="50"/>
        <cfvo type="max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4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5" scale="52" fitToHeight="0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23"/>
  <sheetViews>
    <sheetView view="pageBreakPreview" zoomScale="60" zoomScaleNormal="80" workbookViewId="0">
      <selection activeCell="A5" sqref="A5:XFD6"/>
    </sheetView>
  </sheetViews>
  <sheetFormatPr baseColWidth="10" defaultColWidth="11.42578125" defaultRowHeight="15" x14ac:dyDescent="0.25"/>
  <cols>
    <col min="1" max="1" width="3" style="1" bestFit="1" customWidth="1"/>
    <col min="2" max="2" width="60.5703125" style="1" customWidth="1"/>
    <col min="3" max="4" width="20.5703125" style="1" customWidth="1"/>
    <col min="5" max="6" width="20.5703125" style="3" customWidth="1"/>
    <col min="7" max="7" width="20.5703125" style="2" customWidth="1"/>
    <col min="8" max="8" width="16.42578125" style="1" customWidth="1"/>
    <col min="9" max="16384" width="11.42578125" style="1"/>
  </cols>
  <sheetData>
    <row r="1" spans="1:7" ht="69.75" customHeight="1" thickBot="1" x14ac:dyDescent="0.3">
      <c r="B1" s="758" t="s">
        <v>343</v>
      </c>
      <c r="C1" s="759"/>
      <c r="D1" s="759"/>
      <c r="E1" s="759"/>
      <c r="F1" s="759"/>
      <c r="G1" s="760"/>
    </row>
    <row r="2" spans="1:7" s="2" customFormat="1" ht="77.25" thickBot="1" x14ac:dyDescent="0.3">
      <c r="B2" s="14" t="s">
        <v>1</v>
      </c>
      <c r="C2" s="170" t="s">
        <v>54</v>
      </c>
      <c r="D2" s="144" t="s">
        <v>62</v>
      </c>
      <c r="E2" s="171" t="s">
        <v>56</v>
      </c>
      <c r="F2" s="172" t="s">
        <v>57</v>
      </c>
      <c r="G2" s="173" t="s">
        <v>55</v>
      </c>
    </row>
    <row r="3" spans="1:7" s="2" customFormat="1" ht="42.75" customHeight="1" thickBot="1" x14ac:dyDescent="0.3">
      <c r="A3" s="4">
        <v>1</v>
      </c>
      <c r="B3" s="704" t="s">
        <v>294</v>
      </c>
      <c r="C3" s="705">
        <v>1</v>
      </c>
      <c r="D3" s="706">
        <v>1</v>
      </c>
      <c r="E3" s="605" t="s">
        <v>296</v>
      </c>
      <c r="F3" s="707">
        <v>208096850</v>
      </c>
      <c r="G3" s="708">
        <v>1</v>
      </c>
    </row>
    <row r="4" spans="1:7" ht="21.75" customHeight="1" thickBot="1" x14ac:dyDescent="0.3">
      <c r="B4" s="321" t="s">
        <v>0</v>
      </c>
      <c r="C4" s="322">
        <v>1</v>
      </c>
      <c r="D4" s="709">
        <f>D3</f>
        <v>1</v>
      </c>
      <c r="E4" s="710">
        <v>0</v>
      </c>
      <c r="F4" s="364">
        <f>F3</f>
        <v>208096850</v>
      </c>
      <c r="G4" s="711">
        <v>1</v>
      </c>
    </row>
    <row r="5" spans="1:7" s="2" customFormat="1" ht="15" hidden="1" customHeight="1" x14ac:dyDescent="0.25">
      <c r="A5" s="1"/>
      <c r="B5" s="15"/>
      <c r="C5" s="15"/>
      <c r="D5" s="235">
        <v>0</v>
      </c>
      <c r="E5" s="16"/>
      <c r="F5" s="16"/>
      <c r="G5" s="235">
        <v>0</v>
      </c>
    </row>
    <row r="6" spans="1:7" s="2" customFormat="1" hidden="1" x14ac:dyDescent="0.25">
      <c r="A6" s="1"/>
      <c r="D6" s="266">
        <v>1</v>
      </c>
      <c r="E6" s="3"/>
      <c r="F6" s="3"/>
      <c r="G6" s="266">
        <v>1</v>
      </c>
    </row>
    <row r="7" spans="1:7" s="2" customFormat="1" ht="15.75" thickBot="1" x14ac:dyDescent="0.3">
      <c r="A7" s="1"/>
      <c r="E7" s="3"/>
      <c r="F7" s="3"/>
    </row>
    <row r="8" spans="1:7" s="2" customFormat="1" ht="15.75" thickBot="1" x14ac:dyDescent="0.3">
      <c r="A8" s="1"/>
      <c r="E8" s="761" t="s">
        <v>16</v>
      </c>
      <c r="F8" s="762"/>
      <c r="G8" s="763"/>
    </row>
    <row r="9" spans="1:7" s="2" customFormat="1" ht="15.75" thickBot="1" x14ac:dyDescent="0.3">
      <c r="A9" s="1"/>
      <c r="E9" s="136" t="s">
        <v>13</v>
      </c>
      <c r="F9" s="137" t="s">
        <v>14</v>
      </c>
      <c r="G9" s="138" t="s">
        <v>15</v>
      </c>
    </row>
    <row r="10" spans="1:7" s="2" customFormat="1" x14ac:dyDescent="0.25">
      <c r="A10" s="1"/>
      <c r="E10" s="155" t="s">
        <v>345</v>
      </c>
      <c r="F10" s="156">
        <v>1</v>
      </c>
      <c r="G10" s="23">
        <f>F10/F13</f>
        <v>1</v>
      </c>
    </row>
    <row r="11" spans="1:7" s="2" customFormat="1" x14ac:dyDescent="0.25">
      <c r="A11" s="1"/>
      <c r="E11" s="157" t="s">
        <v>346</v>
      </c>
      <c r="F11" s="158"/>
      <c r="G11" s="23">
        <f>F11/F13</f>
        <v>0</v>
      </c>
    </row>
    <row r="12" spans="1:7" s="2" customFormat="1" ht="15.75" thickBot="1" x14ac:dyDescent="0.3">
      <c r="A12" s="1"/>
      <c r="E12" s="159" t="s">
        <v>344</v>
      </c>
      <c r="F12" s="160"/>
      <c r="G12" s="23">
        <f>F12/F13</f>
        <v>0</v>
      </c>
    </row>
    <row r="13" spans="1:7" s="2" customFormat="1" ht="15.75" thickBot="1" x14ac:dyDescent="0.3">
      <c r="A13" s="1"/>
      <c r="E13" s="161" t="s">
        <v>17</v>
      </c>
      <c r="F13" s="162">
        <v>1</v>
      </c>
      <c r="G13" s="50"/>
    </row>
    <row r="14" spans="1:7" s="2" customFormat="1" ht="15.75" thickBot="1" x14ac:dyDescent="0.3">
      <c r="A14" s="1"/>
      <c r="E14" s="196"/>
      <c r="F14" s="197"/>
      <c r="G14" s="33"/>
    </row>
    <row r="15" spans="1:7" s="2" customFormat="1" ht="15.75" thickBot="1" x14ac:dyDescent="0.3">
      <c r="A15" s="1"/>
      <c r="E15" s="779" t="s">
        <v>273</v>
      </c>
      <c r="F15" s="780"/>
      <c r="G15" s="781"/>
    </row>
    <row r="16" spans="1:7" s="3" customFormat="1" ht="15.75" thickBot="1" x14ac:dyDescent="0.3">
      <c r="A16" s="1"/>
      <c r="B16" s="2"/>
      <c r="C16" s="2"/>
      <c r="D16" s="2"/>
      <c r="E16" s="136" t="s">
        <v>3</v>
      </c>
      <c r="F16" s="137" t="s">
        <v>4</v>
      </c>
      <c r="G16" s="30" t="s">
        <v>213</v>
      </c>
    </row>
    <row r="17" spans="1:7" s="3" customFormat="1" ht="15.75" thickBot="1" x14ac:dyDescent="0.3">
      <c r="A17" s="1"/>
      <c r="E17" s="215">
        <v>0</v>
      </c>
      <c r="F17" s="267">
        <v>0</v>
      </c>
      <c r="G17" s="200">
        <v>0</v>
      </c>
    </row>
    <row r="18" spans="1:7" s="3" customFormat="1" x14ac:dyDescent="0.25">
      <c r="A18" s="1"/>
      <c r="G18" s="2"/>
    </row>
    <row r="19" spans="1:7" s="3" customFormat="1" x14ac:dyDescent="0.25">
      <c r="A19" s="1"/>
      <c r="G19" s="2"/>
    </row>
    <row r="20" spans="1:7" s="3" customFormat="1" x14ac:dyDescent="0.25">
      <c r="A20" s="1"/>
      <c r="G20" s="2"/>
    </row>
    <row r="21" spans="1:7" s="3" customFormat="1" x14ac:dyDescent="0.25">
      <c r="A21" s="1"/>
      <c r="G21" s="2"/>
    </row>
    <row r="22" spans="1:7" s="3" customFormat="1" x14ac:dyDescent="0.25">
      <c r="A22" s="1"/>
      <c r="G22" s="2"/>
    </row>
    <row r="23" spans="1:7" x14ac:dyDescent="0.25">
      <c r="B23" s="3"/>
      <c r="C23" s="3"/>
      <c r="D23" s="3"/>
    </row>
  </sheetData>
  <mergeCells count="3">
    <mergeCell ref="B1:G1"/>
    <mergeCell ref="E8:G8"/>
    <mergeCell ref="E15:G15"/>
  </mergeCells>
  <conditionalFormatting sqref="D3:D6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G3:G6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60"/>
  <sheetViews>
    <sheetView view="pageBreakPreview" topLeftCell="A7" zoomScale="60" zoomScaleNormal="70" workbookViewId="0">
      <selection activeCell="D29" sqref="D29"/>
    </sheetView>
  </sheetViews>
  <sheetFormatPr baseColWidth="10" defaultColWidth="11.42578125" defaultRowHeight="15" x14ac:dyDescent="0.25"/>
  <cols>
    <col min="1" max="1" width="3.42578125" style="1" customWidth="1"/>
    <col min="2" max="2" width="67" style="1" customWidth="1"/>
    <col min="3" max="3" width="20.7109375" style="1" customWidth="1"/>
    <col min="4" max="4" width="22.42578125" style="1" customWidth="1"/>
    <col min="5" max="5" width="29" style="64" customWidth="1"/>
    <col min="6" max="6" width="30" style="64" customWidth="1"/>
    <col min="7" max="7" width="25.28515625" style="2" customWidth="1"/>
    <col min="8" max="8" width="16.42578125" style="1" customWidth="1"/>
    <col min="9" max="9" width="12.85546875" style="1" customWidth="1"/>
    <col min="10" max="16384" width="11.42578125" style="1"/>
  </cols>
  <sheetData>
    <row r="1" spans="1:7" ht="75" customHeight="1" thickBot="1" x14ac:dyDescent="0.3">
      <c r="B1" s="746" t="s">
        <v>318</v>
      </c>
      <c r="C1" s="747"/>
      <c r="D1" s="747"/>
      <c r="E1" s="747"/>
      <c r="F1" s="747"/>
      <c r="G1" s="748"/>
    </row>
    <row r="2" spans="1:7" s="2" customFormat="1" ht="113.25" customHeight="1" thickBot="1" x14ac:dyDescent="0.3">
      <c r="B2" s="139" t="s">
        <v>1</v>
      </c>
      <c r="C2" s="140" t="s">
        <v>54</v>
      </c>
      <c r="D2" s="140" t="s">
        <v>62</v>
      </c>
      <c r="E2" s="141" t="s">
        <v>56</v>
      </c>
      <c r="F2" s="142" t="s">
        <v>57</v>
      </c>
      <c r="G2" s="143" t="s">
        <v>55</v>
      </c>
    </row>
    <row r="3" spans="1:7" s="2" customFormat="1" ht="21" customHeight="1" x14ac:dyDescent="0.25">
      <c r="A3" s="5">
        <v>1</v>
      </c>
      <c r="B3" s="305" t="s">
        <v>5</v>
      </c>
      <c r="C3" s="306">
        <f>'1.DESPACHO'!C8</f>
        <v>29</v>
      </c>
      <c r="D3" s="307">
        <f>'1.DESPACHO'!D8</f>
        <v>0.99858000000000013</v>
      </c>
      <c r="E3" s="365">
        <f>'1.DESPACHO'!E8</f>
        <v>2236204242.96</v>
      </c>
      <c r="F3" s="365">
        <f>'1.DESPACHO'!F8</f>
        <v>2090616390.24</v>
      </c>
      <c r="G3" s="308">
        <f>'1.DESPACHO'!G8</f>
        <v>0.93489510040134371</v>
      </c>
    </row>
    <row r="4" spans="1:7" s="2" customFormat="1" ht="21" customHeight="1" x14ac:dyDescent="0.25">
      <c r="A4" s="5">
        <v>2</v>
      </c>
      <c r="B4" s="309" t="s">
        <v>43</v>
      </c>
      <c r="C4" s="310">
        <f>'2.1 GOBIERNO Y CONVIVENCIA'!C18</f>
        <v>48</v>
      </c>
      <c r="D4" s="311">
        <f>'2.1 GOBIERNO Y CONVIVENCIA'!D18</f>
        <v>0.84642857142857142</v>
      </c>
      <c r="E4" s="366">
        <f>'2.1 GOBIERNO Y CONVIVENCIA'!E18</f>
        <v>17662222620.09</v>
      </c>
      <c r="F4" s="366">
        <f>'2.1 GOBIERNO Y CONVIVENCIA'!F18</f>
        <v>8767101876.1800003</v>
      </c>
      <c r="G4" s="312">
        <f>'2.1 GOBIERNO Y CONVIVENCIA'!G18</f>
        <v>0.49637591285978971</v>
      </c>
    </row>
    <row r="5" spans="1:7" s="2" customFormat="1" ht="21" customHeight="1" x14ac:dyDescent="0.25">
      <c r="A5" s="5">
        <v>3</v>
      </c>
      <c r="B5" s="309" t="s">
        <v>42</v>
      </c>
      <c r="C5" s="310">
        <f>'2.2 DESARROLLO SOCIAL'!C21</f>
        <v>270</v>
      </c>
      <c r="D5" s="311">
        <f>'2.2 DESARROLLO SOCIAL'!D21</f>
        <v>0.94058823529411772</v>
      </c>
      <c r="E5" s="366">
        <f>'2.2 DESARROLLO SOCIAL'!E21</f>
        <v>11805775522</v>
      </c>
      <c r="F5" s="366">
        <f>'2.2 DESARROLLO SOCIAL'!F21</f>
        <v>6143847938</v>
      </c>
      <c r="G5" s="312">
        <f>'2.2 DESARROLLO SOCIAL'!G21</f>
        <v>0.52041036410958108</v>
      </c>
    </row>
    <row r="6" spans="1:7" s="2" customFormat="1" ht="21" customHeight="1" x14ac:dyDescent="0.25">
      <c r="A6" s="5">
        <v>4</v>
      </c>
      <c r="B6" s="309" t="s">
        <v>41</v>
      </c>
      <c r="C6" s="310">
        <f>'2.3 SALUD'!C26</f>
        <v>107</v>
      </c>
      <c r="D6" s="311">
        <f>'2.3 SALUD'!D26</f>
        <v>0.99454545454545451</v>
      </c>
      <c r="E6" s="366">
        <f>'2.3 SALUD'!E26</f>
        <v>147432419366.92001</v>
      </c>
      <c r="F6" s="366">
        <f>'2.3 SALUD'!F26</f>
        <v>145176658433.88</v>
      </c>
      <c r="G6" s="312">
        <f>'2.3 SALUD'!G26</f>
        <v>0.98469969534023571</v>
      </c>
    </row>
    <row r="7" spans="1:7" s="2" customFormat="1" ht="21" customHeight="1" x14ac:dyDescent="0.25">
      <c r="A7" s="5">
        <v>5</v>
      </c>
      <c r="B7" s="309" t="s">
        <v>44</v>
      </c>
      <c r="C7" s="310">
        <f>'2.4 DESARROLLO ECONOMICO'!C7</f>
        <v>41</v>
      </c>
      <c r="D7" s="311">
        <f>'2.4 DESARROLLO ECONOMICO'!D7</f>
        <v>0.977275</v>
      </c>
      <c r="E7" s="366">
        <f>'2.4 DESARROLLO ECONOMICO'!E7</f>
        <v>4844769960</v>
      </c>
      <c r="F7" s="366">
        <f>'2.4 DESARROLLO ECONOMICO'!F7</f>
        <v>3000545960.8199997</v>
      </c>
      <c r="G7" s="312">
        <f>'2.4 DESARROLLO ECONOMICO'!G7</f>
        <v>0.61933713790200262</v>
      </c>
    </row>
    <row r="8" spans="1:7" s="2" customFormat="1" ht="21" customHeight="1" x14ac:dyDescent="0.25">
      <c r="A8" s="5">
        <v>6</v>
      </c>
      <c r="B8" s="309" t="s">
        <v>45</v>
      </c>
      <c r="C8" s="310">
        <f>'2.5 EDUCACION'!C41</f>
        <v>41</v>
      </c>
      <c r="D8" s="311">
        <f>'2.5 EDUCACION'!D41</f>
        <v>0.85866151911405486</v>
      </c>
      <c r="E8" s="366">
        <f>'2.5 EDUCACION'!E41</f>
        <v>168926168432.71997</v>
      </c>
      <c r="F8" s="366">
        <f>'2.5 EDUCACION'!F41</f>
        <v>160492358456.98001</v>
      </c>
      <c r="G8" s="312">
        <f>'2.5 EDUCACION'!G41</f>
        <v>0.95007398762436868</v>
      </c>
    </row>
    <row r="9" spans="1:7" s="2" customFormat="1" ht="21" customHeight="1" x14ac:dyDescent="0.25">
      <c r="A9" s="5">
        <v>7</v>
      </c>
      <c r="B9" s="309" t="s">
        <v>40</v>
      </c>
      <c r="C9" s="310">
        <f>'2.6 INFRAESTRUCTURA'!C21</f>
        <v>85</v>
      </c>
      <c r="D9" s="313">
        <f>'2.6 INFRAESTRUCTURA'!D21</f>
        <v>0.43905555555555559</v>
      </c>
      <c r="E9" s="366">
        <f>'2.6 INFRAESTRUCTURA'!E21</f>
        <v>59345136446</v>
      </c>
      <c r="F9" s="366">
        <f>'2.6 INFRAESTRUCTURA'!F21</f>
        <v>28494678114</v>
      </c>
      <c r="G9" s="314">
        <f>'2.6 INFRAESTRUCTURA'!G21</f>
        <v>0.48015186787763475</v>
      </c>
    </row>
    <row r="10" spans="1:7" s="2" customFormat="1" ht="21" customHeight="1" x14ac:dyDescent="0.25">
      <c r="A10" s="5">
        <v>8</v>
      </c>
      <c r="B10" s="309" t="s">
        <v>39</v>
      </c>
      <c r="C10" s="310">
        <f>'2.7 TRANSITO'!C7</f>
        <v>13</v>
      </c>
      <c r="D10" s="311">
        <f>'2.7 TRANSITO'!D7</f>
        <v>0.82024999999999992</v>
      </c>
      <c r="E10" s="366">
        <f>'2.7 TRANSITO'!E7</f>
        <v>11069638531</v>
      </c>
      <c r="F10" s="366">
        <f>'2.7 TRANSITO'!F7</f>
        <v>7249431187.8800001</v>
      </c>
      <c r="G10" s="312">
        <f>'2.7 TRANSITO'!G7</f>
        <v>0.65489321693552238</v>
      </c>
    </row>
    <row r="11" spans="1:7" ht="21" customHeight="1" x14ac:dyDescent="0.25">
      <c r="A11" s="5">
        <v>9</v>
      </c>
      <c r="B11" s="315" t="s">
        <v>38</v>
      </c>
      <c r="C11" s="310">
        <f>'2.8 TICS'!C8</f>
        <v>12</v>
      </c>
      <c r="D11" s="311">
        <f>'2.8 TICS'!D8</f>
        <v>0.57889999999999997</v>
      </c>
      <c r="E11" s="366">
        <f>'2.7 TRANSITO'!E7</f>
        <v>11069638531</v>
      </c>
      <c r="F11" s="366">
        <f>'2.8 TICS'!F8</f>
        <v>1283141427</v>
      </c>
      <c r="G11" s="312">
        <f>'2.8 TICS'!G8</f>
        <v>0.49213616347812861</v>
      </c>
    </row>
    <row r="12" spans="1:7" ht="21" customHeight="1" x14ac:dyDescent="0.25">
      <c r="A12" s="5">
        <v>12</v>
      </c>
      <c r="B12" s="315" t="s">
        <v>347</v>
      </c>
      <c r="C12" s="310">
        <f>'2.9 HACIENDA'!C6</f>
        <v>23</v>
      </c>
      <c r="D12" s="311">
        <f>'2.9 HACIENDA'!D6</f>
        <v>1</v>
      </c>
      <c r="E12" s="366">
        <f>'2.9 HACIENDA'!E6</f>
        <v>10053193763.110001</v>
      </c>
      <c r="F12" s="366">
        <f>'2.9 HACIENDA'!F6</f>
        <v>9446660427.1399994</v>
      </c>
      <c r="G12" s="312">
        <f>'2.9 HACIENDA'!G6</f>
        <v>0.93966759715746617</v>
      </c>
    </row>
    <row r="13" spans="1:7" ht="21" customHeight="1" x14ac:dyDescent="0.25">
      <c r="A13" s="5">
        <v>10</v>
      </c>
      <c r="B13" s="315" t="s">
        <v>37</v>
      </c>
      <c r="C13" s="310">
        <f>'3.1 FORTALECIMIENTO INSTITUCION'!C6</f>
        <v>11</v>
      </c>
      <c r="D13" s="311">
        <f>'3.1 FORTALECIMIENTO INSTITUCION'!D6</f>
        <v>0.92410000000000003</v>
      </c>
      <c r="E13" s="366">
        <f>'3.1 FORTALECIMIENTO INSTITUCION'!E6</f>
        <v>5141222655</v>
      </c>
      <c r="F13" s="366">
        <f>'3.1 FORTALECIMIENTO INSTITUCION'!F6</f>
        <v>4582204619</v>
      </c>
      <c r="G13" s="312">
        <f>'3.1 FORTALECIMIENTO INSTITUCION'!G6</f>
        <v>0.8912674915068427</v>
      </c>
    </row>
    <row r="14" spans="1:7" ht="21" customHeight="1" x14ac:dyDescent="0.25">
      <c r="A14" s="5">
        <v>11</v>
      </c>
      <c r="B14" s="315" t="s">
        <v>36</v>
      </c>
      <c r="C14" s="310">
        <f>'3.2 JURIDICA'!C5</f>
        <v>3</v>
      </c>
      <c r="D14" s="311">
        <f>'3.2 JURIDICA'!D5</f>
        <v>1</v>
      </c>
      <c r="E14" s="366">
        <f>'3.2 JURIDICA'!E5</f>
        <v>1334800000</v>
      </c>
      <c r="F14" s="366">
        <f>'3.2 JURIDICA'!F5</f>
        <v>1201800194</v>
      </c>
      <c r="G14" s="312">
        <f>'3.2 JURIDICA'!G5</f>
        <v>0.90035974977524724</v>
      </c>
    </row>
    <row r="15" spans="1:7" ht="21" customHeight="1" x14ac:dyDescent="0.25">
      <c r="A15" s="5">
        <v>13</v>
      </c>
      <c r="B15" s="315" t="s">
        <v>35</v>
      </c>
      <c r="C15" s="310">
        <f>'3.4 BIENES Y SUMINISTROS'!C7</f>
        <v>15</v>
      </c>
      <c r="D15" s="311">
        <f>'3.4 BIENES Y SUMINISTROS'!D7</f>
        <v>0.69666666666666666</v>
      </c>
      <c r="E15" s="366">
        <f>'3.4 BIENES Y SUMINISTROS'!E7</f>
        <v>821749999</v>
      </c>
      <c r="F15" s="366">
        <f>'3.4 BIENES Y SUMINISTROS'!F7</f>
        <v>768605522</v>
      </c>
      <c r="G15" s="312">
        <f>'3.4 BIENES Y SUMINISTROS'!G7</f>
        <v>0.93532768230645291</v>
      </c>
    </row>
    <row r="16" spans="1:7" ht="21" customHeight="1" x14ac:dyDescent="0.25">
      <c r="A16" s="5">
        <v>14</v>
      </c>
      <c r="B16" s="315" t="s">
        <v>46</v>
      </c>
      <c r="C16" s="310">
        <f>'3.5 PLANEACION'!C23</f>
        <v>125</v>
      </c>
      <c r="D16" s="311">
        <f>'3.5 PLANEACION'!D23</f>
        <v>0.87094500000000008</v>
      </c>
      <c r="E16" s="366">
        <f>'3.5 PLANEACION'!E23</f>
        <v>13352714768.73</v>
      </c>
      <c r="F16" s="366">
        <f>'3.5 PLANEACION'!F23</f>
        <v>8043101211.1499996</v>
      </c>
      <c r="G16" s="312">
        <f>'3.5 PLANEACION'!G23</f>
        <v>0.60235700009002691</v>
      </c>
    </row>
    <row r="17" spans="1:8" ht="21" customHeight="1" x14ac:dyDescent="0.25">
      <c r="A17" s="5">
        <v>15</v>
      </c>
      <c r="B17" s="315" t="s">
        <v>34</v>
      </c>
      <c r="C17" s="310">
        <f>'3.6 CONTROL INTERNO'!C6</f>
        <v>7</v>
      </c>
      <c r="D17" s="311">
        <f>'3.6 CONTROL INTERNO'!D6</f>
        <v>1</v>
      </c>
      <c r="E17" s="366">
        <f>'3.6 CONTROL INTERNO'!E6</f>
        <v>580000000</v>
      </c>
      <c r="F17" s="366">
        <f>'3.6 CONTROL INTERNO'!F6</f>
        <v>559483334</v>
      </c>
      <c r="G17" s="312">
        <f>'3.6 CONTROL INTERNO'!G6</f>
        <v>0.96462643793103453</v>
      </c>
    </row>
    <row r="18" spans="1:8" ht="21" customHeight="1" thickBot="1" x14ac:dyDescent="0.3">
      <c r="A18" s="5">
        <v>16</v>
      </c>
      <c r="B18" s="315" t="s">
        <v>33</v>
      </c>
      <c r="C18" s="310">
        <f>'3.7. DACID'!C4</f>
        <v>7</v>
      </c>
      <c r="D18" s="311">
        <f>'3.7. DACID'!D4</f>
        <v>1</v>
      </c>
      <c r="E18" s="366">
        <f>'3.7. DACID'!E4</f>
        <v>639495000</v>
      </c>
      <c r="F18" s="366">
        <f>'3.7. DACID'!F4</f>
        <v>620218446</v>
      </c>
      <c r="G18" s="312">
        <f>'3.7. DACID'!G4</f>
        <v>0.96985659934792301</v>
      </c>
    </row>
    <row r="19" spans="1:8" ht="21" customHeight="1" thickBot="1" x14ac:dyDescent="0.3">
      <c r="B19" s="321" t="s">
        <v>0</v>
      </c>
      <c r="C19" s="322">
        <f>SUM(C3:C18)</f>
        <v>837</v>
      </c>
      <c r="D19" s="323">
        <f>SUM(D3:D18)/23</f>
        <v>0.60634765228714871</v>
      </c>
      <c r="E19" s="367">
        <f>SUM(E3:E18)</f>
        <v>466315149838.52991</v>
      </c>
      <c r="F19" s="367">
        <f>SUM(F3:F18)</f>
        <v>387920453538.27008</v>
      </c>
      <c r="G19" s="325">
        <f>F19/E19</f>
        <v>0.8318847321872227</v>
      </c>
      <c r="H19" s="12"/>
    </row>
    <row r="20" spans="1:8" ht="21" hidden="1" customHeight="1" x14ac:dyDescent="0.3">
      <c r="B20" s="86"/>
      <c r="C20" s="87"/>
      <c r="D20" s="88">
        <v>1</v>
      </c>
      <c r="E20" s="89"/>
      <c r="F20" s="89"/>
      <c r="G20" s="90">
        <v>1</v>
      </c>
      <c r="H20" s="12"/>
    </row>
    <row r="21" spans="1:8" ht="21" hidden="1" customHeight="1" x14ac:dyDescent="0.3">
      <c r="B21" s="86"/>
      <c r="C21" s="87"/>
      <c r="D21" s="88">
        <v>0</v>
      </c>
      <c r="E21" s="89"/>
      <c r="F21" s="89"/>
      <c r="G21" s="90">
        <v>0</v>
      </c>
      <c r="H21" s="12"/>
    </row>
    <row r="22" spans="1:8" ht="18.75" x14ac:dyDescent="0.3">
      <c r="B22" s="303"/>
      <c r="C22" s="303"/>
      <c r="D22" s="303"/>
      <c r="E22" s="331"/>
      <c r="F22" s="331"/>
      <c r="G22" s="332"/>
    </row>
    <row r="23" spans="1:8" ht="19.5" thickBot="1" x14ac:dyDescent="0.35">
      <c r="B23" s="303"/>
      <c r="C23" s="303"/>
      <c r="D23" s="303"/>
      <c r="E23" s="333"/>
      <c r="F23" s="334"/>
      <c r="G23" s="303"/>
    </row>
    <row r="24" spans="1:8" ht="19.5" thickBot="1" x14ac:dyDescent="0.35">
      <c r="B24" s="303"/>
      <c r="C24" s="303"/>
      <c r="D24" s="303"/>
      <c r="E24" s="739" t="s">
        <v>191</v>
      </c>
      <c r="F24" s="740"/>
      <c r="G24" s="741"/>
    </row>
    <row r="25" spans="1:8" ht="19.5" thickBot="1" x14ac:dyDescent="0.35">
      <c r="B25" s="303"/>
      <c r="C25" s="303"/>
      <c r="D25" s="303"/>
      <c r="E25" s="335" t="s">
        <v>13</v>
      </c>
      <c r="F25" s="336" t="s">
        <v>14</v>
      </c>
      <c r="G25" s="337" t="s">
        <v>15</v>
      </c>
    </row>
    <row r="26" spans="1:8" ht="18.75" x14ac:dyDescent="0.3">
      <c r="B26" s="303"/>
      <c r="C26" s="303"/>
      <c r="D26" s="303"/>
      <c r="E26" s="338" t="s">
        <v>345</v>
      </c>
      <c r="F26" s="339">
        <v>8</v>
      </c>
      <c r="G26" s="340">
        <f>F26/F29</f>
        <v>0.5</v>
      </c>
    </row>
    <row r="27" spans="1:8" ht="18.75" x14ac:dyDescent="0.3">
      <c r="B27" s="303"/>
      <c r="C27" s="303"/>
      <c r="D27" s="303"/>
      <c r="E27" s="341" t="s">
        <v>346</v>
      </c>
      <c r="F27" s="342">
        <v>4</v>
      </c>
      <c r="G27" s="340">
        <f>F27/F29</f>
        <v>0.25</v>
      </c>
    </row>
    <row r="28" spans="1:8" ht="19.5" thickBot="1" x14ac:dyDescent="0.35">
      <c r="B28" s="303"/>
      <c r="C28" s="303"/>
      <c r="D28" s="303"/>
      <c r="E28" s="343" t="s">
        <v>344</v>
      </c>
      <c r="F28" s="344">
        <v>4</v>
      </c>
      <c r="G28" s="340">
        <f>F28/F29</f>
        <v>0.25</v>
      </c>
    </row>
    <row r="29" spans="1:8" ht="19.5" thickBot="1" x14ac:dyDescent="0.35">
      <c r="B29" s="303"/>
      <c r="C29" s="303"/>
      <c r="D29" s="303"/>
      <c r="E29" s="345" t="s">
        <v>27</v>
      </c>
      <c r="F29" s="346">
        <f>SUM(F26:F28)</f>
        <v>16</v>
      </c>
      <c r="G29" s="347"/>
    </row>
    <row r="30" spans="1:8" ht="18.75" x14ac:dyDescent="0.3">
      <c r="B30" s="303"/>
      <c r="C30" s="303"/>
      <c r="D30" s="303"/>
      <c r="E30" s="348"/>
      <c r="F30" s="348"/>
      <c r="G30" s="349"/>
    </row>
    <row r="31" spans="1:8" ht="19.5" thickBot="1" x14ac:dyDescent="0.35">
      <c r="B31" s="303"/>
      <c r="C31" s="303"/>
      <c r="D31" s="303"/>
      <c r="E31" s="350"/>
      <c r="F31" s="350"/>
      <c r="G31" s="349"/>
    </row>
    <row r="32" spans="1:8" ht="19.5" thickBot="1" x14ac:dyDescent="0.35">
      <c r="B32" s="303"/>
      <c r="C32" s="303"/>
      <c r="D32" s="303"/>
      <c r="E32" s="745" t="s">
        <v>181</v>
      </c>
      <c r="F32" s="740"/>
      <c r="G32" s="741"/>
    </row>
    <row r="33" spans="2:7" ht="19.5" thickBot="1" x14ac:dyDescent="0.35">
      <c r="B33" s="303"/>
      <c r="C33" s="303"/>
      <c r="D33" s="303"/>
      <c r="E33" s="335" t="s">
        <v>13</v>
      </c>
      <c r="F33" s="336" t="s">
        <v>14</v>
      </c>
      <c r="G33" s="337" t="s">
        <v>272</v>
      </c>
    </row>
    <row r="34" spans="2:7" ht="18.75" x14ac:dyDescent="0.3">
      <c r="B34" s="303"/>
      <c r="C34" s="303"/>
      <c r="D34" s="303"/>
      <c r="E34" s="338" t="s">
        <v>345</v>
      </c>
      <c r="F34" s="339">
        <f>SUM('1.DESPACHO'!F14+'2.1 GOBIERNO Y CONVIVENCIA'!F23+'2.2 DESARROLLO SOCIAL'!F27+'2.3 SALUD'!F32+'2.4 DESARROLLO ECONOMICO'!F13+'2.5 EDUCACION'!F47+'2.6 INFRAESTRUCTURA'!F27+'2.7 TRANSITO'!F13+'2.8 TICS'!F14+'3.1 FORTALECIMIENTO INSTITUCION'!F12+'3.2 JURIDICA'!F11+'2.9 HACIENDA'!F12+'3.4 BIENES Y SUMINISTROS'!F13+'3.5 PLANEACION'!F31+'3.6 CONTROL INTERNO'!F13+'3.7. DACID'!F10)</f>
        <v>674</v>
      </c>
      <c r="G34" s="340">
        <f>F34/F37</f>
        <v>0.80525686977299882</v>
      </c>
    </row>
    <row r="35" spans="2:7" ht="18.75" x14ac:dyDescent="0.3">
      <c r="B35" s="303"/>
      <c r="C35" s="303"/>
      <c r="D35" s="303"/>
      <c r="E35" s="341" t="s">
        <v>346</v>
      </c>
      <c r="F35" s="342">
        <f>SUM('1.DESPACHO'!F15+'2.1 GOBIERNO Y CONVIVENCIA'!F24+'2.2 DESARROLLO SOCIAL'!F28+'2.3 SALUD'!F33+'2.4 DESARROLLO ECONOMICO'!F14+'2.5 EDUCACION'!F48+'2.6 INFRAESTRUCTURA'!F28+'2.7 TRANSITO'!F14+'2.8 TICS'!F15+'3.1 FORTALECIMIENTO INSTITUCION'!F13+'3.2 JURIDICA'!F12+'2.9 HACIENDA'!F13+'3.4 BIENES Y SUMINISTROS'!F14+'3.5 PLANEACION'!F32+'3.6 CONTROL INTERNO'!F14+'3.7. DACID'!F11)</f>
        <v>29</v>
      </c>
      <c r="G35" s="340">
        <f>F35/F37</f>
        <v>3.4647550776583033E-2</v>
      </c>
    </row>
    <row r="36" spans="2:7" ht="19.5" thickBot="1" x14ac:dyDescent="0.35">
      <c r="B36" s="303"/>
      <c r="C36" s="303"/>
      <c r="D36" s="303"/>
      <c r="E36" s="351" t="s">
        <v>344</v>
      </c>
      <c r="F36" s="344">
        <f>SUM('1.DESPACHO'!F16+'2.1 GOBIERNO Y CONVIVENCIA'!F25+'2.2 DESARROLLO SOCIAL'!F29+'2.3 SALUD'!F34+'2.4 DESARROLLO ECONOMICO'!F15+'2.5 EDUCACION'!F49+'2.6 INFRAESTRUCTURA'!F29+'2.7 TRANSITO'!F15+'2.8 TICS'!F16+'3.1 FORTALECIMIENTO INSTITUCION'!F14+'3.2 JURIDICA'!F13+'2.9 HACIENDA'!F14+'3.4 BIENES Y SUMINISTROS'!F15+'3.5 PLANEACION'!F33+'3.6 CONTROL INTERNO'!F15+'3.7. DACID'!F12)</f>
        <v>134</v>
      </c>
      <c r="G36" s="340">
        <f>F36/F37</f>
        <v>0.16009557945041816</v>
      </c>
    </row>
    <row r="37" spans="2:7" ht="19.5" thickBot="1" x14ac:dyDescent="0.35">
      <c r="B37" s="303"/>
      <c r="C37" s="303"/>
      <c r="D37" s="303"/>
      <c r="E37" s="345" t="s">
        <v>182</v>
      </c>
      <c r="F37" s="346">
        <f>SUM(F34:F36)</f>
        <v>837</v>
      </c>
      <c r="G37" s="368"/>
    </row>
    <row r="38" spans="2:7" ht="18.75" x14ac:dyDescent="0.3">
      <c r="B38" s="303"/>
      <c r="C38" s="303"/>
      <c r="D38" s="303"/>
      <c r="E38" s="350"/>
      <c r="F38" s="350"/>
      <c r="G38" s="349"/>
    </row>
    <row r="39" spans="2:7" ht="19.5" thickBot="1" x14ac:dyDescent="0.35">
      <c r="B39" s="303"/>
      <c r="C39" s="352"/>
      <c r="D39" s="303"/>
      <c r="E39" s="350"/>
      <c r="F39" s="350"/>
      <c r="G39" s="349"/>
    </row>
    <row r="40" spans="2:7" ht="19.5" thickBot="1" x14ac:dyDescent="0.35">
      <c r="B40" s="303"/>
      <c r="C40" s="303"/>
      <c r="D40" s="303"/>
      <c r="E40" s="742" t="s">
        <v>31</v>
      </c>
      <c r="F40" s="743"/>
      <c r="G40" s="744"/>
    </row>
    <row r="41" spans="2:7" ht="19.5" thickBot="1" x14ac:dyDescent="0.35">
      <c r="B41" s="303"/>
      <c r="C41" s="303"/>
      <c r="D41" s="303"/>
      <c r="E41" s="300" t="s">
        <v>3</v>
      </c>
      <c r="F41" s="301" t="s">
        <v>4</v>
      </c>
      <c r="G41" s="302" t="s">
        <v>212</v>
      </c>
    </row>
    <row r="42" spans="2:7" ht="19.5" thickBot="1" x14ac:dyDescent="0.35">
      <c r="B42" s="303"/>
      <c r="C42" s="303"/>
      <c r="D42" s="303"/>
      <c r="E42" s="356">
        <f>E19</f>
        <v>466315149838.52991</v>
      </c>
      <c r="F42" s="357">
        <f>F19</f>
        <v>387920453538.27008</v>
      </c>
      <c r="G42" s="358">
        <f>F42/E42</f>
        <v>0.8318847321872227</v>
      </c>
    </row>
    <row r="43" spans="2:7" ht="18.75" x14ac:dyDescent="0.3">
      <c r="B43" s="303"/>
      <c r="C43" s="303"/>
      <c r="D43" s="303"/>
      <c r="E43" s="331"/>
      <c r="F43" s="331"/>
      <c r="G43" s="303"/>
    </row>
    <row r="44" spans="2:7" ht="18.75" x14ac:dyDescent="0.3">
      <c r="B44" s="303"/>
      <c r="C44" s="303"/>
      <c r="D44" s="303"/>
      <c r="E44" s="331"/>
      <c r="F44" s="331"/>
      <c r="G44" s="303"/>
    </row>
    <row r="45" spans="2:7" ht="18.75" x14ac:dyDescent="0.3">
      <c r="B45" s="303"/>
      <c r="C45" s="303"/>
      <c r="D45" s="303"/>
      <c r="E45" s="331"/>
      <c r="F45" s="331"/>
      <c r="G45" s="303"/>
    </row>
    <row r="46" spans="2:7" ht="18.75" x14ac:dyDescent="0.3">
      <c r="B46" s="303"/>
      <c r="C46" s="303"/>
      <c r="D46" s="303"/>
      <c r="E46" s="331"/>
      <c r="F46" s="331"/>
      <c r="G46" s="303"/>
    </row>
    <row r="47" spans="2:7" ht="18.75" x14ac:dyDescent="0.3">
      <c r="B47" s="303"/>
      <c r="C47" s="303"/>
      <c r="D47" s="303"/>
      <c r="E47" s="331"/>
      <c r="F47" s="331"/>
      <c r="G47" s="303"/>
    </row>
    <row r="48" spans="2:7" ht="18.75" x14ac:dyDescent="0.3">
      <c r="B48" s="303"/>
      <c r="C48" s="303"/>
      <c r="D48" s="303"/>
      <c r="E48" s="331"/>
      <c r="F48" s="331"/>
      <c r="G48" s="303"/>
    </row>
    <row r="49" spans="2:7" ht="18.75" x14ac:dyDescent="0.3">
      <c r="B49" s="303"/>
      <c r="C49" s="303"/>
      <c r="D49" s="303"/>
      <c r="E49" s="331"/>
      <c r="F49" s="331"/>
      <c r="G49" s="303"/>
    </row>
    <row r="50" spans="2:7" ht="18.75" x14ac:dyDescent="0.3">
      <c r="B50" s="303"/>
      <c r="C50" s="303"/>
      <c r="D50" s="303"/>
      <c r="E50" s="331"/>
      <c r="F50" s="331"/>
      <c r="G50" s="303"/>
    </row>
    <row r="51" spans="2:7" ht="18.75" x14ac:dyDescent="0.3">
      <c r="B51" s="303"/>
      <c r="C51" s="303"/>
      <c r="D51" s="303"/>
      <c r="E51" s="331"/>
      <c r="F51" s="331"/>
      <c r="G51" s="303"/>
    </row>
    <row r="52" spans="2:7" ht="18.75" x14ac:dyDescent="0.3">
      <c r="B52" s="303"/>
      <c r="C52" s="303"/>
      <c r="D52" s="303"/>
      <c r="E52" s="331"/>
      <c r="F52" s="331"/>
      <c r="G52" s="303"/>
    </row>
    <row r="53" spans="2:7" ht="18.75" x14ac:dyDescent="0.3">
      <c r="B53" s="303"/>
      <c r="C53" s="303"/>
      <c r="D53" s="303"/>
      <c r="E53" s="331"/>
      <c r="F53" s="331"/>
      <c r="G53" s="303"/>
    </row>
    <row r="54" spans="2:7" ht="18.75" x14ac:dyDescent="0.3">
      <c r="B54" s="303"/>
      <c r="C54" s="303"/>
      <c r="D54" s="303"/>
      <c r="E54" s="331"/>
      <c r="F54" s="331"/>
      <c r="G54" s="303"/>
    </row>
    <row r="55" spans="2:7" ht="18.75" x14ac:dyDescent="0.3">
      <c r="B55" s="303"/>
      <c r="C55" s="303"/>
      <c r="D55" s="303"/>
      <c r="E55" s="331"/>
      <c r="F55" s="331"/>
      <c r="G55" s="303"/>
    </row>
    <row r="56" spans="2:7" ht="18.75" x14ac:dyDescent="0.3">
      <c r="B56" s="303"/>
      <c r="C56" s="303"/>
      <c r="D56" s="303"/>
      <c r="E56" s="331"/>
      <c r="F56" s="331"/>
      <c r="G56" s="303"/>
    </row>
    <row r="57" spans="2:7" ht="18.75" x14ac:dyDescent="0.3">
      <c r="B57" s="303"/>
      <c r="C57" s="303"/>
      <c r="D57" s="303"/>
      <c r="E57" s="331"/>
      <c r="F57" s="331"/>
      <c r="G57" s="303"/>
    </row>
    <row r="58" spans="2:7" ht="18.75" x14ac:dyDescent="0.3">
      <c r="B58" s="303"/>
      <c r="C58" s="303"/>
      <c r="D58" s="303"/>
      <c r="E58" s="331"/>
      <c r="F58" s="331"/>
      <c r="G58" s="303"/>
    </row>
    <row r="59" spans="2:7" ht="18.75" x14ac:dyDescent="0.3">
      <c r="B59" s="303"/>
      <c r="C59" s="303"/>
      <c r="D59" s="303"/>
      <c r="E59" s="331"/>
      <c r="F59" s="331"/>
      <c r="G59" s="303"/>
    </row>
    <row r="60" spans="2:7" ht="18.75" x14ac:dyDescent="0.3">
      <c r="B60" s="303"/>
      <c r="C60" s="303"/>
      <c r="D60" s="303"/>
      <c r="E60" s="331"/>
      <c r="F60" s="331"/>
      <c r="G60" s="303"/>
    </row>
  </sheetData>
  <autoFilter ref="A2:G21"/>
  <mergeCells count="4">
    <mergeCell ref="B1:G1"/>
    <mergeCell ref="E24:G24"/>
    <mergeCell ref="E32:G32"/>
    <mergeCell ref="E40:G40"/>
  </mergeCells>
  <conditionalFormatting sqref="D3:D5 D10:D11 D7:D8">
    <cfRule type="colorScale" priority="2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7:G8">
    <cfRule type="colorScale" priority="24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3">
    <cfRule type="colorScale" priority="2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3">
    <cfRule type="colorScale" priority="24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5 D10:D11 D13 D7:D8">
    <cfRule type="colorScale" priority="2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5 G10:G11 G13 G7:G8">
    <cfRule type="colorScale" priority="2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40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9">
    <cfRule type="colorScale" priority="2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9">
    <cfRule type="colorScale" priority="2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2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23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2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2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 D3:D5 D7:D11 D13">
    <cfRule type="colorScale" priority="23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9:G21 G3:G5 G7:G11 G13">
    <cfRule type="colorScale" priority="231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2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4">
    <cfRule type="colorScale" priority="2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4">
    <cfRule type="colorScale" priority="225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4">
    <cfRule type="colorScale" priority="2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2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2">
    <cfRule type="colorScale" priority="21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2">
    <cfRule type="colorScale" priority="21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">
    <cfRule type="colorScale" priority="21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5">
    <cfRule type="colorScale" priority="20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5">
    <cfRule type="colorScale" priority="20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5">
    <cfRule type="colorScale" priority="20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9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7">
    <cfRule type="colorScale" priority="19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9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8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7">
    <cfRule type="colorScale" priority="1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7">
    <cfRule type="colorScale" priority="18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 D3:D5 D7:D15 D17">
    <cfRule type="colorScale" priority="1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 G3:G5 G7:G15 G17">
    <cfRule type="colorScale" priority="1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8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8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8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6">
    <cfRule type="colorScale" priority="17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7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6">
    <cfRule type="colorScale" priority="17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6">
    <cfRule type="colorScale" priority="17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6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8">
    <cfRule type="colorScale" priority="16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6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5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6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8">
    <cfRule type="colorScale" priority="15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8">
    <cfRule type="colorScale" priority="15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12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17:G21">
    <cfRule type="colorScale" priority="1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10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">
    <cfRule type="colorScale" priority="10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9:D21">
    <cfRule type="colorScale" priority="8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5 G17:G21">
    <cfRule type="colorScale" priority="80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8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D16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5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3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D16">
    <cfRule type="colorScale" priority="1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16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5 D17:D21">
    <cfRule type="colorScale" priority="28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15">
    <cfRule type="colorScale" priority="28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21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2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21"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28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1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</conditionalFormatting>
  <conditionalFormatting sqref="D19:D21 D3:D5 D7:D14">
    <cfRule type="colorScale" priority="48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8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9:G21 G3:G5 G7:G14">
    <cfRule type="colorScale" priority="49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5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5"/>
  <sheetViews>
    <sheetView view="pageBreakPreview" zoomScale="60" zoomScaleNormal="52" workbookViewId="0">
      <selection activeCell="G17" sqref="G17"/>
    </sheetView>
  </sheetViews>
  <sheetFormatPr baseColWidth="10" defaultRowHeight="15" x14ac:dyDescent="0.25"/>
  <cols>
    <col min="1" max="1" width="58.7109375" customWidth="1"/>
    <col min="2" max="2" width="20.42578125" customWidth="1"/>
    <col min="3" max="3" width="20.28515625" customWidth="1"/>
    <col min="4" max="4" width="23.7109375" customWidth="1"/>
    <col min="5" max="5" width="27.140625" customWidth="1"/>
    <col min="6" max="6" width="20.140625" customWidth="1"/>
  </cols>
  <sheetData>
    <row r="1" spans="1:6" ht="80.45" customHeight="1" thickBot="1" x14ac:dyDescent="0.3">
      <c r="A1" s="746" t="s">
        <v>319</v>
      </c>
      <c r="B1" s="747"/>
      <c r="C1" s="747"/>
      <c r="D1" s="747"/>
      <c r="E1" s="747"/>
      <c r="F1" s="748"/>
    </row>
    <row r="2" spans="1:6" ht="108.95" customHeight="1" thickBot="1" x14ac:dyDescent="0.3">
      <c r="A2" s="139" t="str">
        <f>' CONSOLIDADO GENERAL'!B2</f>
        <v>DEPENDENCIA y/O ENTIDAD</v>
      </c>
      <c r="B2" s="140" t="str">
        <f>' CONSOLIDADO GENERAL'!C2</f>
        <v>Número de Actividades Metas  producto  del proyecto a la fecha de corte</v>
      </c>
      <c r="C2" s="140" t="str">
        <f>' CONSOLIDADO GENERAL'!D2</f>
        <v>Promedio de avance de la meta del indicador de producto del proyecto a la fecha de corte</v>
      </c>
      <c r="D2" s="141" t="str">
        <f>' CONSOLIDADO GENERAL'!E2</f>
        <v>Recursos asignados, en pesos en el momento presupuestal
 (Apropiación Definitiva)</v>
      </c>
      <c r="E2" s="142" t="str">
        <f>' CONSOLIDADO GENERAL'!F2</f>
        <v>Recursos ejecutados en pesos en el momento presupuestal 
(Reg. Presupuestal)</v>
      </c>
      <c r="F2" s="143" t="str">
        <f>' CONSOLIDADO GENERAL'!G2</f>
        <v>% ejecución presupuestal a la fecha de corte</v>
      </c>
    </row>
    <row r="3" spans="1:6" x14ac:dyDescent="0.25">
      <c r="A3" s="85" t="str">
        <f>' CONSOLIDADO GENERAL'!B3</f>
        <v>1. DESPACHO</v>
      </c>
      <c r="B3" s="82">
        <f>' CONSOLIDADO GENERAL'!C3</f>
        <v>29</v>
      </c>
      <c r="C3" s="216">
        <f>' CONSOLIDADO GENERAL'!D3</f>
        <v>0.99858000000000013</v>
      </c>
      <c r="D3" s="217">
        <f>' CONSOLIDADO GENERAL'!E3</f>
        <v>2236204242.96</v>
      </c>
      <c r="E3" s="217">
        <f>' CONSOLIDADO GENERAL'!F3</f>
        <v>2090616390.24</v>
      </c>
      <c r="F3" s="218">
        <f>' CONSOLIDADO GENERAL'!G3</f>
        <v>0.93489510040134371</v>
      </c>
    </row>
    <row r="4" spans="1:6" x14ac:dyDescent="0.25">
      <c r="A4" s="65" t="str">
        <f>' CONSOLIDADO GENERAL'!B4</f>
        <v>2.1. GOBIERNO Y CONVIVENCIA</v>
      </c>
      <c r="B4" s="81">
        <f>' CONSOLIDADO GENERAL'!C4</f>
        <v>48</v>
      </c>
      <c r="C4" s="219">
        <f>' CONSOLIDADO GENERAL'!D4</f>
        <v>0.84642857142857142</v>
      </c>
      <c r="D4" s="220">
        <f>' CONSOLIDADO GENERAL'!E4</f>
        <v>17662222620.09</v>
      </c>
      <c r="E4" s="220">
        <f>' CONSOLIDADO GENERAL'!F4</f>
        <v>8767101876.1800003</v>
      </c>
      <c r="F4" s="221">
        <f>' CONSOLIDADO GENERAL'!G4</f>
        <v>0.49637591285978971</v>
      </c>
    </row>
    <row r="5" spans="1:6" x14ac:dyDescent="0.25">
      <c r="A5" s="65" t="str">
        <f>' CONSOLIDADO GENERAL'!B5</f>
        <v>2.2. DESARROLLO SOCIAL</v>
      </c>
      <c r="B5" s="81">
        <f>' CONSOLIDADO GENERAL'!C5</f>
        <v>270</v>
      </c>
      <c r="C5" s="219">
        <f>' CONSOLIDADO GENERAL'!D5</f>
        <v>0.94058823529411772</v>
      </c>
      <c r="D5" s="220">
        <f>' CONSOLIDADO GENERAL'!E5</f>
        <v>11805775522</v>
      </c>
      <c r="E5" s="220">
        <f>' CONSOLIDADO GENERAL'!F5</f>
        <v>6143847938</v>
      </c>
      <c r="F5" s="221">
        <f>' CONSOLIDADO GENERAL'!G5</f>
        <v>0.52041036410958108</v>
      </c>
    </row>
    <row r="6" spans="1:6" x14ac:dyDescent="0.25">
      <c r="A6" s="65" t="str">
        <f>' CONSOLIDADO GENERAL'!B6</f>
        <v>2.3. SALUD</v>
      </c>
      <c r="B6" s="81">
        <f>' CONSOLIDADO GENERAL'!C6</f>
        <v>107</v>
      </c>
      <c r="C6" s="219">
        <f>' CONSOLIDADO GENERAL'!D6</f>
        <v>0.99454545454545451</v>
      </c>
      <c r="D6" s="220">
        <f>' CONSOLIDADO GENERAL'!E6</f>
        <v>147432419366.92001</v>
      </c>
      <c r="E6" s="220">
        <f>' CONSOLIDADO GENERAL'!F6</f>
        <v>145176658433.88</v>
      </c>
      <c r="F6" s="221">
        <f>' CONSOLIDADO GENERAL'!G6</f>
        <v>0.98469969534023571</v>
      </c>
    </row>
    <row r="7" spans="1:6" x14ac:dyDescent="0.25">
      <c r="A7" s="65" t="str">
        <f>' CONSOLIDADO GENERAL'!B7</f>
        <v>2.4. DESARROLLO ECONÓMICO</v>
      </c>
      <c r="B7" s="81">
        <f>' CONSOLIDADO GENERAL'!C7</f>
        <v>41</v>
      </c>
      <c r="C7" s="219">
        <f>' CONSOLIDADO GENERAL'!D7</f>
        <v>0.977275</v>
      </c>
      <c r="D7" s="220">
        <f>' CONSOLIDADO GENERAL'!E7</f>
        <v>4844769960</v>
      </c>
      <c r="E7" s="220">
        <f>' CONSOLIDADO GENERAL'!F7</f>
        <v>3000545960.8199997</v>
      </c>
      <c r="F7" s="221">
        <f>' CONSOLIDADO GENERAL'!G7</f>
        <v>0.61933713790200262</v>
      </c>
    </row>
    <row r="8" spans="1:6" x14ac:dyDescent="0.25">
      <c r="A8" s="65" t="str">
        <f>' CONSOLIDADO GENERAL'!B8</f>
        <v>2.5. EDUCACIÓN</v>
      </c>
      <c r="B8" s="81">
        <f>' CONSOLIDADO GENERAL'!C8</f>
        <v>41</v>
      </c>
      <c r="C8" s="219">
        <f>' CONSOLIDADO GENERAL'!D8</f>
        <v>0.85866151911405486</v>
      </c>
      <c r="D8" s="220">
        <f>' CONSOLIDADO GENERAL'!E8</f>
        <v>168926168432.71997</v>
      </c>
      <c r="E8" s="220">
        <f>' CONSOLIDADO GENERAL'!F8</f>
        <v>160492358456.98001</v>
      </c>
      <c r="F8" s="221">
        <f>' CONSOLIDADO GENERAL'!G8</f>
        <v>0.95007398762436868</v>
      </c>
    </row>
    <row r="9" spans="1:6" x14ac:dyDescent="0.25">
      <c r="A9" s="65" t="str">
        <f>' CONSOLIDADO GENERAL'!B9</f>
        <v>2.6. SECRETARIA DE INFRAESTRUCTURA</v>
      </c>
      <c r="B9" s="81">
        <f>' CONSOLIDADO GENERAL'!C9</f>
        <v>85</v>
      </c>
      <c r="C9" s="268">
        <f>' CONSOLIDADO GENERAL'!D9</f>
        <v>0.43905555555555559</v>
      </c>
      <c r="D9" s="220">
        <f>' CONSOLIDADO GENERAL'!E9</f>
        <v>59345136446</v>
      </c>
      <c r="E9" s="220">
        <f>' CONSOLIDADO GENERAL'!F9</f>
        <v>28494678114</v>
      </c>
      <c r="F9" s="269">
        <f>' CONSOLIDADO GENERAL'!G9</f>
        <v>0.48015186787763475</v>
      </c>
    </row>
    <row r="10" spans="1:6" x14ac:dyDescent="0.25">
      <c r="A10" s="65" t="str">
        <f>' CONSOLIDADO GENERAL'!B10</f>
        <v>2.7. SECRETARIA DE TRANSITO Y TRANSPORTE</v>
      </c>
      <c r="B10" s="81">
        <f>' CONSOLIDADO GENERAL'!C10</f>
        <v>13</v>
      </c>
      <c r="C10" s="219">
        <f>' CONSOLIDADO GENERAL'!D10</f>
        <v>0.82024999999999992</v>
      </c>
      <c r="D10" s="220">
        <f>' CONSOLIDADO GENERAL'!E10</f>
        <v>11069638531</v>
      </c>
      <c r="E10" s="220">
        <f>' CONSOLIDADO GENERAL'!F10</f>
        <v>7249431187.8800001</v>
      </c>
      <c r="F10" s="221">
        <f>' CONSOLIDADO GENERAL'!G10</f>
        <v>0.65489321693552238</v>
      </c>
    </row>
    <row r="11" spans="1:6" x14ac:dyDescent="0.25">
      <c r="A11" s="270" t="str">
        <f>' CONSOLIDADO GENERAL'!B11</f>
        <v>2.8. SECRETARIA DE LAS TECNOLOGIAS TICS</v>
      </c>
      <c r="B11" s="81">
        <f>' CONSOLIDADO GENERAL'!C11</f>
        <v>12</v>
      </c>
      <c r="C11" s="219">
        <f>' CONSOLIDADO GENERAL'!D11</f>
        <v>0.57889999999999997</v>
      </c>
      <c r="D11" s="220">
        <f>' CONSOLIDADO GENERAL'!E11</f>
        <v>2607289450</v>
      </c>
      <c r="E11" s="220">
        <f>' CONSOLIDADO GENERAL'!F11</f>
        <v>1283141427</v>
      </c>
      <c r="F11" s="271">
        <f>' CONSOLIDADO GENERAL'!G11</f>
        <v>0.49213616347812861</v>
      </c>
    </row>
    <row r="12" spans="1:6" s="1" customFormat="1" x14ac:dyDescent="0.25">
      <c r="A12" s="275" t="str">
        <f>' CONSOLIDADO NIVEL CENTRAL '!B12</f>
        <v>2.9. HACIENDA</v>
      </c>
      <c r="B12" s="276">
        <f>' CONSOLIDADO NIVEL CENTRAL '!C12</f>
        <v>23</v>
      </c>
      <c r="C12" s="222">
        <f>' CONSOLIDADO NIVEL CENTRAL '!D12</f>
        <v>1</v>
      </c>
      <c r="D12" s="223">
        <f>' CONSOLIDADO NIVEL CENTRAL '!E12</f>
        <v>10053193763.110001</v>
      </c>
      <c r="E12" s="223">
        <f>' CONSOLIDADO NIVEL CENTRAL '!F12</f>
        <v>9446660427.1399994</v>
      </c>
      <c r="F12" s="277">
        <f>' CONSOLIDADO NIVEL CENTRAL '!G12</f>
        <v>0.93966759715746617</v>
      </c>
    </row>
    <row r="13" spans="1:6" ht="15.75" thickBot="1" x14ac:dyDescent="0.3">
      <c r="A13" s="272" t="s">
        <v>0</v>
      </c>
      <c r="B13" s="273">
        <f>SUM(B3:B12)</f>
        <v>669</v>
      </c>
      <c r="C13" s="279">
        <f>SUM(C3:C12)/10</f>
        <v>0.8454284335937754</v>
      </c>
      <c r="D13" s="274">
        <f>SUM(D3:D11)</f>
        <v>425929624571.68994</v>
      </c>
      <c r="E13" s="274">
        <f>SUM(E3:E11)</f>
        <v>362698379784.98004</v>
      </c>
      <c r="F13" s="278">
        <f>E13/D13</f>
        <v>0.85154532312633913</v>
      </c>
    </row>
    <row r="14" spans="1:6" ht="18.600000000000001" hidden="1" customHeight="1" x14ac:dyDescent="0.25">
      <c r="C14" s="12">
        <v>0</v>
      </c>
      <c r="F14" s="12">
        <v>0</v>
      </c>
    </row>
    <row r="15" spans="1:6" hidden="1" x14ac:dyDescent="0.25">
      <c r="C15" s="12">
        <v>1</v>
      </c>
      <c r="F15" s="12">
        <v>1</v>
      </c>
    </row>
  </sheetData>
  <mergeCells count="1">
    <mergeCell ref="A1:F1"/>
  </mergeCells>
  <conditionalFormatting sqref="C3:C5 C10:C12 C7:C8"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5 C10:C12 C7:C8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10:F12 F7:F8">
    <cfRule type="colorScale" priority="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4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3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">
    <cfRule type="colorScale" priority="3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">
    <cfRule type="colorScale" priority="3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5 C7:C12">
    <cfRule type="colorScale" priority="36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5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C3:C5 C7:C12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5 C7:C12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5 F7:F12"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4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C6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2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6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1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">
    <cfRule type="colorScale" priority="1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11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4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2">
    <cfRule type="colorScale" priority="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2">
    <cfRule type="colorScale" priority="5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5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5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3:F15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  <pageSetup paperSize="256" scale="5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view="pageBreakPreview" zoomScale="60" zoomScaleNormal="53" workbookViewId="0">
      <selection activeCell="J16" sqref="J16"/>
    </sheetView>
  </sheetViews>
  <sheetFormatPr baseColWidth="10" defaultRowHeight="15" x14ac:dyDescent="0.25"/>
  <cols>
    <col min="1" max="1" width="38.5703125" customWidth="1"/>
    <col min="2" max="2" width="26" customWidth="1"/>
    <col min="3" max="3" width="32.7109375" customWidth="1"/>
    <col min="4" max="4" width="27.42578125" customWidth="1"/>
    <col min="5" max="5" width="31.5703125" customWidth="1"/>
    <col min="6" max="6" width="26.85546875" customWidth="1"/>
  </cols>
  <sheetData>
    <row r="1" spans="1:6" ht="66.599999999999994" customHeight="1" thickBot="1" x14ac:dyDescent="0.3">
      <c r="A1" s="746" t="s">
        <v>320</v>
      </c>
      <c r="B1" s="747"/>
      <c r="C1" s="747"/>
      <c r="D1" s="747"/>
      <c r="E1" s="747"/>
      <c r="F1" s="748"/>
    </row>
    <row r="2" spans="1:6" ht="69.599999999999994" customHeight="1" thickBot="1" x14ac:dyDescent="0.3">
      <c r="A2" s="139" t="str">
        <f>' CONSOLIDADO GENERAL'!B2</f>
        <v>DEPENDENCIA y/O ENTIDAD</v>
      </c>
      <c r="B2" s="140" t="str">
        <f>' CONSOLIDADO GENERAL'!C2</f>
        <v>Número de Actividades Metas  producto  del proyecto a la fecha de corte</v>
      </c>
      <c r="C2" s="140" t="str">
        <f>' CONSOLIDADO GENERAL'!D2</f>
        <v>Promedio de avance de la meta del indicador de producto del proyecto a la fecha de corte</v>
      </c>
      <c r="D2" s="141" t="str">
        <f>' CONSOLIDADO GENERAL'!E2</f>
        <v>Recursos asignados, en pesos en el momento presupuestal
 (Apropiación Definitiva)</v>
      </c>
      <c r="E2" s="142" t="str">
        <f>' CONSOLIDADO GENERAL'!F2</f>
        <v>Recursos ejecutados en pesos en el momento presupuestal 
(Reg. Presupuestal)</v>
      </c>
      <c r="F2" s="143" t="str">
        <f>' CONSOLIDADO GENERAL'!G2</f>
        <v>% ejecución presupuestal a la fecha de corte</v>
      </c>
    </row>
    <row r="3" spans="1:6" ht="30" x14ac:dyDescent="0.25">
      <c r="A3" s="85" t="str">
        <f>' CONSOLIDADO NIVEL CENTRAL '!B13</f>
        <v>3.1. FORTALECIMIENTO INSTITUCIONAL</v>
      </c>
      <c r="B3" s="82">
        <f>' CONSOLIDADO NIVEL CENTRAL '!C13</f>
        <v>11</v>
      </c>
      <c r="C3" s="216">
        <f>' CONSOLIDADO NIVEL CENTRAL '!D13</f>
        <v>0.92410000000000003</v>
      </c>
      <c r="D3" s="217">
        <f>' CONSOLIDADO NIVEL CENTRAL '!E13</f>
        <v>5141222655</v>
      </c>
      <c r="E3" s="217">
        <f>' CONSOLIDADO NIVEL CENTRAL '!F13</f>
        <v>4582204619</v>
      </c>
      <c r="F3" s="218">
        <f>' CONSOLIDADO NIVEL CENTRAL '!G13</f>
        <v>0.8912674915068427</v>
      </c>
    </row>
    <row r="4" spans="1:6" x14ac:dyDescent="0.25">
      <c r="A4" s="65" t="str">
        <f>' CONSOLIDADO NIVEL CENTRAL '!B14</f>
        <v>3.2. JURIDICA</v>
      </c>
      <c r="B4" s="81">
        <f>' CONSOLIDADO NIVEL CENTRAL '!C14</f>
        <v>3</v>
      </c>
      <c r="C4" s="219">
        <f>' CONSOLIDADO NIVEL CENTRAL '!D14</f>
        <v>1</v>
      </c>
      <c r="D4" s="220">
        <f>' CONSOLIDADO NIVEL CENTRAL '!E14</f>
        <v>1334800000</v>
      </c>
      <c r="E4" s="220">
        <f>' CONSOLIDADO NIVEL CENTRAL '!F14</f>
        <v>1201800194</v>
      </c>
      <c r="F4" s="221">
        <f>' CONSOLIDADO NIVEL CENTRAL '!G14</f>
        <v>0.90035974977524724</v>
      </c>
    </row>
    <row r="5" spans="1:6" x14ac:dyDescent="0.25">
      <c r="A5" s="65" t="str">
        <f>' CONSOLIDADO NIVEL CENTRAL '!B15</f>
        <v>3.4. BIENES Y SUMINISTROS</v>
      </c>
      <c r="B5" s="81">
        <f>' CONSOLIDADO NIVEL CENTRAL '!C15</f>
        <v>15</v>
      </c>
      <c r="C5" s="219">
        <f>' CONSOLIDADO NIVEL CENTRAL '!D15</f>
        <v>0.69666666666666666</v>
      </c>
      <c r="D5" s="220">
        <f>' CONSOLIDADO NIVEL CENTRAL '!E15</f>
        <v>821749999</v>
      </c>
      <c r="E5" s="220">
        <f>' CONSOLIDADO NIVEL CENTRAL '!F15</f>
        <v>768605522</v>
      </c>
      <c r="F5" s="221">
        <f>' CONSOLIDADO NIVEL CENTRAL '!G15</f>
        <v>0.93532768230645291</v>
      </c>
    </row>
    <row r="6" spans="1:6" x14ac:dyDescent="0.25">
      <c r="A6" s="65" t="str">
        <f>' CONSOLIDADO NIVEL CENTRAL '!B16</f>
        <v>3.5. PLANEACIÓN</v>
      </c>
      <c r="B6" s="81">
        <f>' CONSOLIDADO NIVEL CENTRAL '!C16</f>
        <v>125</v>
      </c>
      <c r="C6" s="219">
        <f>' CONSOLIDADO NIVEL CENTRAL '!D16</f>
        <v>0.87094500000000008</v>
      </c>
      <c r="D6" s="220">
        <f>' CONSOLIDADO NIVEL CENTRAL '!E16</f>
        <v>13352714768.73</v>
      </c>
      <c r="E6" s="220">
        <f>' CONSOLIDADO NIVEL CENTRAL '!F16</f>
        <v>8043101211.1499996</v>
      </c>
      <c r="F6" s="221">
        <f>' CONSOLIDADO NIVEL CENTRAL '!G16</f>
        <v>0.60235700009002691</v>
      </c>
    </row>
    <row r="7" spans="1:6" x14ac:dyDescent="0.25">
      <c r="A7" s="65" t="str">
        <f>' CONSOLIDADO NIVEL CENTRAL '!B17</f>
        <v>3.6.  CONTROL INTERNO</v>
      </c>
      <c r="B7" s="81">
        <f>' CONSOLIDADO NIVEL CENTRAL '!C17</f>
        <v>7</v>
      </c>
      <c r="C7" s="219">
        <f>' CONSOLIDADO NIVEL CENTRAL '!D17</f>
        <v>1</v>
      </c>
      <c r="D7" s="220">
        <f>' CONSOLIDADO NIVEL CENTRAL '!E17</f>
        <v>580000000</v>
      </c>
      <c r="E7" s="220">
        <f>' CONSOLIDADO NIVEL CENTRAL '!F17</f>
        <v>559483334</v>
      </c>
      <c r="F7" s="221">
        <f>' CONSOLIDADO NIVEL CENTRAL '!G17</f>
        <v>0.96462643793103453</v>
      </c>
    </row>
    <row r="8" spans="1:6" ht="30" x14ac:dyDescent="0.25">
      <c r="A8" s="65" t="str">
        <f>' CONSOLIDADO NIVEL CENTRAL '!B18</f>
        <v xml:space="preserve">3.7. CONTROL INTERNO DISCIPLINARIO </v>
      </c>
      <c r="B8" s="81">
        <f>' CONSOLIDADO NIVEL CENTRAL '!C18</f>
        <v>7</v>
      </c>
      <c r="C8" s="268">
        <f>' CONSOLIDADO NIVEL CENTRAL '!D18</f>
        <v>1</v>
      </c>
      <c r="D8" s="220">
        <f>' CONSOLIDADO NIVEL CENTRAL '!E18</f>
        <v>639495000</v>
      </c>
      <c r="E8" s="220">
        <f>' CONSOLIDADO NIVEL CENTRAL '!F18</f>
        <v>620218446</v>
      </c>
      <c r="F8" s="269">
        <f>' CONSOLIDADO NIVEL CENTRAL '!G18</f>
        <v>0.96985659934792301</v>
      </c>
    </row>
    <row r="9" spans="1:6" x14ac:dyDescent="0.25">
      <c r="A9" s="65" t="str">
        <f>' CONSOLIDADO NIVEL CENTRAL '!B19</f>
        <v>TOTAL EJECUCIÓN</v>
      </c>
      <c r="B9" s="81">
        <f>SUM(B3:B8)</f>
        <v>168</v>
      </c>
      <c r="C9" s="219">
        <f>SUM(C3:C8)/6</f>
        <v>0.91528527777777791</v>
      </c>
      <c r="D9" s="220">
        <f>SUM(D3:D8)</f>
        <v>21869982422.73</v>
      </c>
      <c r="E9" s="220">
        <f>SUM(E3:E8)</f>
        <v>15775413326.15</v>
      </c>
      <c r="F9" s="221">
        <f>E9/D9</f>
        <v>0.72132720645235782</v>
      </c>
    </row>
    <row r="10" spans="1:6" hidden="1" x14ac:dyDescent="0.25">
      <c r="A10" s="270"/>
      <c r="B10" s="81"/>
      <c r="C10" s="219">
        <f>' CONSOLIDADO NIVEL CENTRAL '!D20</f>
        <v>1</v>
      </c>
      <c r="D10" s="220"/>
      <c r="E10" s="220"/>
      <c r="F10" s="271">
        <f>' CONSOLIDADO NIVEL CENTRAL '!G20</f>
        <v>1</v>
      </c>
    </row>
    <row r="11" spans="1:6" ht="14.1" hidden="1" customHeight="1" x14ac:dyDescent="0.25">
      <c r="A11" s="275"/>
      <c r="B11" s="276"/>
      <c r="C11" s="222">
        <f>' CONSOLIDADO NIVEL CENTRAL '!D21</f>
        <v>0</v>
      </c>
      <c r="D11" s="223"/>
      <c r="E11" s="223"/>
      <c r="F11" s="277">
        <f>' CONSOLIDADO NIVEL CENTRAL '!G21</f>
        <v>0</v>
      </c>
    </row>
  </sheetData>
  <mergeCells count="1">
    <mergeCell ref="A1:F1"/>
  </mergeCells>
  <conditionalFormatting sqref="C9:C11 C3:C4 C6:C7">
    <cfRule type="colorScale" priority="4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:F11 F3:F4 F6:F7">
    <cfRule type="colorScale" priority="46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9:C11">
    <cfRule type="colorScale" priority="4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9:F11 F3:F4 F6:F7">
    <cfRule type="colorScale" priority="4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8">
    <cfRule type="colorScale" priority="4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8">
    <cfRule type="colorScale" priority="41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4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8">
    <cfRule type="colorScale" priority="4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8">
    <cfRule type="colorScale" priority="3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:C11 C3:C4">
    <cfRule type="colorScale" priority="38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F6:F11 F3:F4">
    <cfRule type="colorScale" priority="37">
      <colorScale>
        <cfvo type="percent" val="0"/>
        <cfvo type="percent" val="35"/>
        <cfvo type="percent" val="100"/>
        <color rgb="FFFF0000"/>
        <color rgb="FFFFFF00"/>
        <color rgb="FF92D050"/>
      </colorScale>
    </cfRule>
  </conditionalFormatting>
  <conditionalFormatting sqref="C6:C11 C3:C4">
    <cfRule type="colorScale" priority="35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6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:F11 F3:F4">
    <cfRule type="colorScale" priority="3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6:C11 C3:C4">
    <cfRule type="colorScale" priority="3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6:F11">
    <cfRule type="colorScale" priority="3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3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9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2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26">
      <colorScale>
        <cfvo type="percent" val="0"/>
        <cfvo type="percent" val="25"/>
        <cfvo type="num" val="0"/>
        <color rgb="FFFF0000"/>
        <color rgb="FFFFFF00"/>
        <color rgb="FF92D050"/>
      </colorScale>
    </cfRule>
  </conditionalFormatting>
  <conditionalFormatting sqref="C5">
    <cfRule type="colorScale" priority="2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2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3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5">
    <cfRule type="colorScale" priority="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2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5">
    <cfRule type="colorScale" priority="2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1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5">
    <cfRule type="colorScale" priority="1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84">
      <colorScale>
        <cfvo type="percent" val="0"/>
        <cfvo type="percent" val="25"/>
        <cfvo type="percent" val="100"/>
        <color rgb="FFFF0000"/>
        <color rgb="FFFFFF00"/>
        <color rgb="FF92D050"/>
      </colorScale>
    </cfRule>
    <cfRule type="colorScale" priority="38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8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39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392">
      <colorScale>
        <cfvo type="percent" val="0"/>
        <cfvo type="percentile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394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398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399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0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0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406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0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08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40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C3:C11">
    <cfRule type="colorScale" priority="41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3:F11">
    <cfRule type="colorScale" priority="416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  <pageSetup paperSize="256" scale="4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4"/>
  </sheetPr>
  <dimension ref="A1:H40"/>
  <sheetViews>
    <sheetView showGridLines="0" view="pageBreakPreview" topLeftCell="B1" zoomScale="75" zoomScaleNormal="80" zoomScaleSheetLayoutView="75" workbookViewId="0">
      <selection activeCell="G11" sqref="G11"/>
    </sheetView>
  </sheetViews>
  <sheetFormatPr baseColWidth="10" defaultRowHeight="15" x14ac:dyDescent="0.25"/>
  <cols>
    <col min="1" max="1" width="2.140625" style="78" bestFit="1" customWidth="1"/>
    <col min="2" max="2" width="60.5703125" style="1" customWidth="1"/>
    <col min="3" max="4" width="20.5703125" style="1" customWidth="1"/>
    <col min="5" max="5" width="26.85546875" style="3" customWidth="1"/>
    <col min="6" max="6" width="23.28515625" style="3" customWidth="1"/>
    <col min="7" max="7" width="20.5703125" style="2" customWidth="1"/>
    <col min="8" max="8" width="3.140625" customWidth="1"/>
  </cols>
  <sheetData>
    <row r="1" spans="1:7" s="1" customFormat="1" ht="74.25" customHeight="1" thickBot="1" x14ac:dyDescent="0.3">
      <c r="A1" s="78"/>
      <c r="B1" s="749" t="s">
        <v>321</v>
      </c>
      <c r="C1" s="750"/>
      <c r="D1" s="750"/>
      <c r="E1" s="750"/>
      <c r="F1" s="750"/>
      <c r="G1" s="751"/>
    </row>
    <row r="2" spans="1:7" s="2" customFormat="1" ht="99" customHeight="1" thickBot="1" x14ac:dyDescent="0.3">
      <c r="A2" s="20"/>
      <c r="B2" s="79" t="s">
        <v>1</v>
      </c>
      <c r="C2" s="144" t="s">
        <v>54</v>
      </c>
      <c r="D2" s="144" t="s">
        <v>62</v>
      </c>
      <c r="E2" s="145" t="s">
        <v>56</v>
      </c>
      <c r="F2" s="146" t="s">
        <v>57</v>
      </c>
      <c r="G2" s="147" t="s">
        <v>55</v>
      </c>
    </row>
    <row r="3" spans="1:7" s="2" customFormat="1" ht="39.75" customHeight="1" x14ac:dyDescent="0.25">
      <c r="A3" s="20">
        <v>1</v>
      </c>
      <c r="B3" s="370" t="s">
        <v>295</v>
      </c>
      <c r="C3" s="712">
        <v>9</v>
      </c>
      <c r="D3" s="713">
        <v>1</v>
      </c>
      <c r="E3" s="714">
        <f>[1]CONSOLIDADO!E37</f>
        <v>150000000</v>
      </c>
      <c r="F3" s="714">
        <f>[1]CONSOLIDADO!F37</f>
        <v>147477333.08000001</v>
      </c>
      <c r="G3" s="371">
        <f t="shared" ref="G3:G8" si="0">F3/E3</f>
        <v>0.98318222053333337</v>
      </c>
    </row>
    <row r="4" spans="1:7" s="2" customFormat="1" ht="30" customHeight="1" x14ac:dyDescent="0.25">
      <c r="A4" s="5">
        <v>2</v>
      </c>
      <c r="B4" s="372" t="s">
        <v>58</v>
      </c>
      <c r="C4" s="373">
        <v>3</v>
      </c>
      <c r="D4" s="374">
        <v>1</v>
      </c>
      <c r="E4" s="715">
        <f>[1]CONSOLIDADO!E38</f>
        <v>73192375.370000005</v>
      </c>
      <c r="F4" s="715">
        <f>[1]CONSOLIDADO!F38</f>
        <v>73192374.730000004</v>
      </c>
      <c r="G4" s="376">
        <f t="shared" si="0"/>
        <v>0.99999999125591976</v>
      </c>
    </row>
    <row r="5" spans="1:7" s="2" customFormat="1" ht="30" customHeight="1" x14ac:dyDescent="0.25">
      <c r="A5" s="20">
        <v>3</v>
      </c>
      <c r="B5" s="372" t="s">
        <v>59</v>
      </c>
      <c r="C5" s="373">
        <v>6</v>
      </c>
      <c r="D5" s="374">
        <v>0.9929</v>
      </c>
      <c r="E5" s="715">
        <f>[1]CONSOLIDADO!E39</f>
        <v>1078639250.99</v>
      </c>
      <c r="F5" s="715">
        <f>[1]CONSOLIDADO!F39</f>
        <v>1048039250.4299999</v>
      </c>
      <c r="G5" s="376">
        <f t="shared" si="0"/>
        <v>0.97163092244982308</v>
      </c>
    </row>
    <row r="6" spans="1:7" ht="30" customHeight="1" x14ac:dyDescent="0.25">
      <c r="A6" s="5">
        <v>4</v>
      </c>
      <c r="B6" s="372" t="s">
        <v>60</v>
      </c>
      <c r="C6" s="373">
        <v>7</v>
      </c>
      <c r="D6" s="374">
        <v>1</v>
      </c>
      <c r="E6" s="715">
        <f>[1]CONSOLIDADO!E40</f>
        <v>653201231.42999995</v>
      </c>
      <c r="F6" s="715">
        <f>[1]CONSOLIDADO!F40</f>
        <v>557320769</v>
      </c>
      <c r="G6" s="376">
        <f t="shared" si="0"/>
        <v>0.85321451060326892</v>
      </c>
    </row>
    <row r="7" spans="1:7" s="1" customFormat="1" ht="30" customHeight="1" thickBot="1" x14ac:dyDescent="0.3">
      <c r="A7" s="20">
        <v>5</v>
      </c>
      <c r="B7" s="377" t="s">
        <v>61</v>
      </c>
      <c r="C7" s="378">
        <v>4</v>
      </c>
      <c r="D7" s="379">
        <v>1</v>
      </c>
      <c r="E7" s="716">
        <f>[1]CONSOLIDADO!E41</f>
        <v>281171385.17000002</v>
      </c>
      <c r="F7" s="716">
        <f>[1]CONSOLIDADO!F41</f>
        <v>264586663</v>
      </c>
      <c r="G7" s="380">
        <f t="shared" si="0"/>
        <v>0.94101561167053804</v>
      </c>
    </row>
    <row r="8" spans="1:7" ht="30" customHeight="1" thickBot="1" x14ac:dyDescent="0.3">
      <c r="A8" s="5"/>
      <c r="B8" s="381" t="s">
        <v>0</v>
      </c>
      <c r="C8" s="382">
        <f>SUM(C3:C7)</f>
        <v>29</v>
      </c>
      <c r="D8" s="383">
        <f>SUM(D3:D7)/5</f>
        <v>0.99858000000000013</v>
      </c>
      <c r="E8" s="386">
        <f>E3+E4+E5+E6+E7</f>
        <v>2236204242.96</v>
      </c>
      <c r="F8" s="384">
        <f>F3+F4+F5+F6+F7</f>
        <v>2090616390.24</v>
      </c>
      <c r="G8" s="385">
        <f t="shared" si="0"/>
        <v>0.93489510040134371</v>
      </c>
    </row>
    <row r="9" spans="1:7" s="1" customFormat="1" hidden="1" x14ac:dyDescent="0.25">
      <c r="A9" s="5"/>
      <c r="B9" s="98"/>
      <c r="C9" s="99"/>
      <c r="D9" s="100">
        <v>1</v>
      </c>
      <c r="E9" s="101"/>
      <c r="F9" s="101"/>
      <c r="G9" s="102">
        <v>1</v>
      </c>
    </row>
    <row r="10" spans="1:7" ht="10.5" hidden="1" customHeight="1" x14ac:dyDescent="0.25">
      <c r="B10" s="25"/>
      <c r="C10" s="25"/>
      <c r="D10" s="100">
        <v>0</v>
      </c>
      <c r="E10" s="26"/>
      <c r="F10" s="26"/>
      <c r="G10" s="100">
        <v>0</v>
      </c>
    </row>
    <row r="11" spans="1:7" s="1" customFormat="1" ht="17.100000000000001" customHeight="1" thickBot="1" x14ac:dyDescent="0.3">
      <c r="A11" s="78"/>
      <c r="C11" s="25"/>
      <c r="D11" s="100"/>
      <c r="E11" s="26"/>
      <c r="F11" s="26"/>
      <c r="G11" s="100"/>
    </row>
    <row r="12" spans="1:7" s="1" customFormat="1" ht="17.100000000000001" customHeight="1" thickBot="1" x14ac:dyDescent="0.3">
      <c r="A12" s="78"/>
      <c r="B12" s="2"/>
      <c r="C12" s="2"/>
      <c r="D12" s="2"/>
      <c r="E12" s="755" t="s">
        <v>16</v>
      </c>
      <c r="F12" s="756"/>
      <c r="G12" s="757"/>
    </row>
    <row r="13" spans="1:7" s="1" customFormat="1" ht="17.100000000000001" customHeight="1" thickBot="1" x14ac:dyDescent="0.3">
      <c r="A13" s="78"/>
      <c r="B13" s="2"/>
      <c r="C13" s="2"/>
      <c r="D13" s="2"/>
      <c r="E13" s="282" t="s">
        <v>13</v>
      </c>
      <c r="F13" s="280" t="s">
        <v>14</v>
      </c>
      <c r="G13" s="281" t="s">
        <v>15</v>
      </c>
    </row>
    <row r="14" spans="1:7" x14ac:dyDescent="0.25">
      <c r="B14" s="2"/>
      <c r="C14" s="2"/>
      <c r="D14" s="2"/>
      <c r="E14" s="148" t="s">
        <v>345</v>
      </c>
      <c r="F14" s="149">
        <v>29</v>
      </c>
      <c r="G14" s="163">
        <f>F14/F17</f>
        <v>1</v>
      </c>
    </row>
    <row r="15" spans="1:7" s="1" customFormat="1" x14ac:dyDescent="0.25">
      <c r="A15" s="78"/>
      <c r="B15" s="2"/>
      <c r="C15" s="2"/>
      <c r="D15" s="2"/>
      <c r="E15" s="150" t="s">
        <v>346</v>
      </c>
      <c r="F15" s="151"/>
      <c r="G15" s="163">
        <f>F15/F17</f>
        <v>0</v>
      </c>
    </row>
    <row r="16" spans="1:7" ht="15.75" thickBot="1" x14ac:dyDescent="0.3">
      <c r="B16" s="2"/>
      <c r="C16" s="2"/>
      <c r="D16" s="2"/>
      <c r="E16" s="150" t="s">
        <v>344</v>
      </c>
      <c r="F16" s="153"/>
      <c r="G16" s="163">
        <f>F16/F17</f>
        <v>0</v>
      </c>
    </row>
    <row r="17" spans="1:8" ht="15.75" thickBot="1" x14ac:dyDescent="0.3">
      <c r="B17" s="2"/>
      <c r="C17" s="2"/>
      <c r="D17" s="2"/>
      <c r="E17" s="426" t="s">
        <v>17</v>
      </c>
      <c r="F17" s="154">
        <f>SUM(F14:F16)</f>
        <v>29</v>
      </c>
      <c r="G17" s="164"/>
    </row>
    <row r="18" spans="1:8" ht="15.75" thickBot="1" x14ac:dyDescent="0.3">
      <c r="B18" s="2"/>
      <c r="C18" s="2"/>
      <c r="D18" s="2"/>
      <c r="E18" s="427"/>
      <c r="F18" s="427"/>
      <c r="G18" s="91"/>
    </row>
    <row r="19" spans="1:8" s="1" customFormat="1" ht="15.75" thickBot="1" x14ac:dyDescent="0.3">
      <c r="A19" s="78"/>
      <c r="B19" s="2"/>
      <c r="C19" s="2"/>
      <c r="D19" s="2"/>
      <c r="E19" s="752" t="s">
        <v>2</v>
      </c>
      <c r="F19" s="753"/>
      <c r="G19" s="754"/>
    </row>
    <row r="20" spans="1:8" ht="15.75" thickBot="1" x14ac:dyDescent="0.3">
      <c r="B20" s="2"/>
      <c r="C20" s="2"/>
      <c r="D20" s="2"/>
      <c r="E20" s="282" t="s">
        <v>3</v>
      </c>
      <c r="F20" s="280" t="s">
        <v>4</v>
      </c>
      <c r="G20" s="165" t="s">
        <v>212</v>
      </c>
    </row>
    <row r="21" spans="1:8" ht="17.100000000000001" customHeight="1" thickBot="1" x14ac:dyDescent="0.3">
      <c r="B21" s="2"/>
      <c r="C21" s="2"/>
      <c r="D21" s="2"/>
      <c r="E21" s="428">
        <f>E8</f>
        <v>2236204242.96</v>
      </c>
      <c r="F21" s="429">
        <f>F8</f>
        <v>2090616390.24</v>
      </c>
      <c r="G21" s="70">
        <f>F21/E21</f>
        <v>0.93489510040134371</v>
      </c>
    </row>
    <row r="22" spans="1:8" ht="17.100000000000001" customHeight="1" x14ac:dyDescent="0.25">
      <c r="B22" s="2"/>
      <c r="C22" s="2"/>
      <c r="D22" s="2"/>
      <c r="E22" s="430"/>
      <c r="F22" s="430"/>
    </row>
    <row r="23" spans="1:8" ht="17.100000000000001" customHeight="1" x14ac:dyDescent="0.25">
      <c r="B23" s="2"/>
      <c r="C23" s="2"/>
      <c r="D23" s="2"/>
      <c r="E23" s="430"/>
      <c r="F23" s="430"/>
    </row>
    <row r="24" spans="1:8" ht="17.100000000000001" customHeight="1" x14ac:dyDescent="0.25">
      <c r="B24" s="2"/>
      <c r="C24" s="2"/>
      <c r="D24" s="2"/>
      <c r="E24" s="430"/>
      <c r="F24" s="430"/>
    </row>
    <row r="25" spans="1:8" x14ac:dyDescent="0.25">
      <c r="B25" s="2"/>
      <c r="C25" s="2"/>
      <c r="D25" s="2"/>
      <c r="E25" s="430"/>
      <c r="F25" s="430"/>
    </row>
    <row r="26" spans="1:8" x14ac:dyDescent="0.25">
      <c r="B26" s="2"/>
      <c r="C26" s="2"/>
      <c r="D26" s="2"/>
      <c r="E26" s="430"/>
      <c r="F26" s="430"/>
    </row>
    <row r="27" spans="1:8" x14ac:dyDescent="0.25">
      <c r="B27" s="2"/>
      <c r="C27" s="2"/>
      <c r="D27" s="2"/>
      <c r="E27" s="430"/>
      <c r="F27" s="430"/>
    </row>
    <row r="28" spans="1:8" x14ac:dyDescent="0.25">
      <c r="B28" s="2"/>
      <c r="C28" s="2"/>
      <c r="D28" s="2"/>
      <c r="E28" s="430"/>
      <c r="F28" s="430"/>
    </row>
    <row r="29" spans="1:8" x14ac:dyDescent="0.25">
      <c r="B29" s="2"/>
      <c r="C29" s="2"/>
      <c r="D29" s="2"/>
      <c r="E29" s="431"/>
      <c r="F29" s="431"/>
      <c r="G29" s="431"/>
    </row>
    <row r="30" spans="1:8" x14ac:dyDescent="0.25">
      <c r="B30" s="2"/>
      <c r="C30" s="2"/>
      <c r="D30" s="2"/>
      <c r="E30" s="431"/>
      <c r="F30" s="431"/>
      <c r="G30" s="11"/>
    </row>
    <row r="31" spans="1:8" x14ac:dyDescent="0.25">
      <c r="B31" s="2"/>
      <c r="C31" s="2"/>
      <c r="D31" s="2"/>
      <c r="E31" s="430"/>
      <c r="F31" s="430"/>
      <c r="H31" s="21"/>
    </row>
    <row r="32" spans="1:8" x14ac:dyDescent="0.25">
      <c r="B32" s="2"/>
      <c r="C32" s="2"/>
      <c r="D32" s="2"/>
      <c r="E32" s="430"/>
      <c r="F32" s="430"/>
      <c r="H32" s="22"/>
    </row>
    <row r="33" spans="2:6" x14ac:dyDescent="0.25">
      <c r="B33" s="2"/>
      <c r="C33" s="2"/>
      <c r="D33" s="2"/>
      <c r="E33" s="430"/>
      <c r="F33" s="430"/>
    </row>
    <row r="34" spans="2:6" x14ac:dyDescent="0.25">
      <c r="B34" s="2"/>
      <c r="C34" s="2"/>
      <c r="D34" s="2"/>
      <c r="E34" s="430"/>
      <c r="F34" s="430"/>
    </row>
    <row r="35" spans="2:6" x14ac:dyDescent="0.25">
      <c r="B35" s="2"/>
      <c r="C35" s="2"/>
      <c r="D35" s="2"/>
      <c r="E35" s="430"/>
      <c r="F35" s="430"/>
    </row>
    <row r="36" spans="2:6" x14ac:dyDescent="0.25">
      <c r="B36" s="2"/>
      <c r="C36" s="2"/>
      <c r="D36" s="2"/>
      <c r="E36" s="430"/>
      <c r="F36" s="430"/>
    </row>
    <row r="37" spans="2:6" x14ac:dyDescent="0.25">
      <c r="B37" s="2"/>
      <c r="C37" s="2"/>
      <c r="D37" s="2"/>
      <c r="E37" s="430"/>
      <c r="F37" s="430"/>
    </row>
    <row r="38" spans="2:6" x14ac:dyDescent="0.25">
      <c r="B38" s="2"/>
      <c r="C38" s="2"/>
      <c r="D38" s="2"/>
      <c r="E38" s="430"/>
      <c r="F38" s="430"/>
    </row>
    <row r="39" spans="2:6" x14ac:dyDescent="0.25">
      <c r="B39" s="2"/>
      <c r="C39" s="2"/>
      <c r="D39" s="2"/>
      <c r="E39" s="430"/>
      <c r="F39" s="430"/>
    </row>
    <row r="40" spans="2:6" x14ac:dyDescent="0.25">
      <c r="B40" s="2"/>
      <c r="C40" s="2"/>
      <c r="D40" s="2"/>
      <c r="E40" s="430"/>
      <c r="F40" s="430"/>
    </row>
  </sheetData>
  <mergeCells count="3">
    <mergeCell ref="B1:G1"/>
    <mergeCell ref="E19:G19"/>
    <mergeCell ref="E12:G12"/>
  </mergeCells>
  <conditionalFormatting sqref="D3:D9">
    <cfRule type="colorScale" priority="15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9">
    <cfRule type="colorScale" priority="1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10:D11">
    <cfRule type="colorScale" priority="1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3:D11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0:G11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0:G11"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5:G8"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3:G8">
    <cfRule type="colorScale" priority="42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1">
    <cfRule type="colorScale" priority="42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3:G10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29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430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D3:D10">
    <cfRule type="colorScale" priority="43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1.1417322834645669" bottom="1.3385826771653544" header="0.31496062992125984" footer="0.31496062992125984"/>
  <pageSetup paperSize="5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31"/>
  <sheetViews>
    <sheetView view="pageBreakPreview" zoomScale="68" zoomScaleNormal="80" zoomScaleSheetLayoutView="68" workbookViewId="0">
      <selection activeCell="E29" sqref="E29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214" customWidth="1"/>
    <col min="3" max="4" width="20.5703125" style="214" customWidth="1"/>
    <col min="5" max="5" width="22.5703125" style="16" customWidth="1"/>
    <col min="6" max="6" width="23.7109375" style="16" customWidth="1"/>
    <col min="7" max="7" width="20.5703125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13.5" thickBot="1" x14ac:dyDescent="0.25"/>
    <row r="2" spans="1:7" ht="66.75" customHeight="1" thickBot="1" x14ac:dyDescent="0.25">
      <c r="B2" s="758" t="s">
        <v>322</v>
      </c>
      <c r="C2" s="759"/>
      <c r="D2" s="759"/>
      <c r="E2" s="759"/>
      <c r="F2" s="759"/>
      <c r="G2" s="760"/>
    </row>
    <row r="3" spans="1:7" ht="103.5" customHeight="1" thickBot="1" x14ac:dyDescent="0.25">
      <c r="B3" s="79" t="s">
        <v>1</v>
      </c>
      <c r="C3" s="144" t="s">
        <v>54</v>
      </c>
      <c r="D3" s="144" t="s">
        <v>62</v>
      </c>
      <c r="E3" s="145" t="s">
        <v>56</v>
      </c>
      <c r="F3" s="146" t="s">
        <v>57</v>
      </c>
      <c r="G3" s="147" t="s">
        <v>55</v>
      </c>
    </row>
    <row r="4" spans="1:7" ht="36" x14ac:dyDescent="0.2">
      <c r="A4" s="17">
        <v>1</v>
      </c>
      <c r="B4" s="370" t="s">
        <v>63</v>
      </c>
      <c r="C4" s="387">
        <v>1</v>
      </c>
      <c r="D4" s="388">
        <f>[2]CONSOLIDADO!C55</f>
        <v>0.2</v>
      </c>
      <c r="E4" s="389">
        <f>[2]CONSOLIDADO!D55</f>
        <v>0</v>
      </c>
      <c r="F4" s="389">
        <f>[2]CONSOLIDADO!E55</f>
        <v>0</v>
      </c>
      <c r="G4" s="390">
        <v>0</v>
      </c>
    </row>
    <row r="5" spans="1:7" ht="36" x14ac:dyDescent="0.2">
      <c r="A5" s="17">
        <v>2</v>
      </c>
      <c r="B5" s="372" t="s">
        <v>64</v>
      </c>
      <c r="C5" s="391">
        <v>1</v>
      </c>
      <c r="D5" s="392">
        <f>[2]CONSOLIDADO!C56</f>
        <v>0</v>
      </c>
      <c r="E5" s="393">
        <f>[2]CONSOLIDADO!D56</f>
        <v>80000000</v>
      </c>
      <c r="F5" s="393">
        <f>[2]CONSOLIDADO!E56</f>
        <v>0</v>
      </c>
      <c r="G5" s="394">
        <f t="shared" ref="G5:G17" si="0">F5/E5</f>
        <v>0</v>
      </c>
    </row>
    <row r="6" spans="1:7" ht="36" x14ac:dyDescent="0.2">
      <c r="A6" s="17">
        <v>3</v>
      </c>
      <c r="B6" s="372" t="s">
        <v>65</v>
      </c>
      <c r="C6" s="391">
        <v>1</v>
      </c>
      <c r="D6" s="392">
        <f>[2]CONSOLIDADO!C57</f>
        <v>1</v>
      </c>
      <c r="E6" s="393">
        <f>[2]CONSOLIDADO!D57</f>
        <v>30000000</v>
      </c>
      <c r="F6" s="393">
        <f>[2]CONSOLIDADO!E57</f>
        <v>27277191.890000001</v>
      </c>
      <c r="G6" s="394">
        <f t="shared" si="0"/>
        <v>0.90923972966666666</v>
      </c>
    </row>
    <row r="7" spans="1:7" ht="36" x14ac:dyDescent="0.2">
      <c r="A7" s="17">
        <v>4</v>
      </c>
      <c r="B7" s="372" t="s">
        <v>66</v>
      </c>
      <c r="C7" s="391">
        <v>11</v>
      </c>
      <c r="D7" s="392">
        <f>[2]CONSOLIDADO!C58</f>
        <v>0.95</v>
      </c>
      <c r="E7" s="393">
        <f>[2]CONSOLIDADO!D58</f>
        <v>473650359</v>
      </c>
      <c r="F7" s="395">
        <f>[2]CONSOLIDADO!E58</f>
        <v>306886211</v>
      </c>
      <c r="G7" s="394">
        <f t="shared" si="0"/>
        <v>0.64791719285913174</v>
      </c>
    </row>
    <row r="8" spans="1:7" ht="54" x14ac:dyDescent="0.2">
      <c r="A8" s="17">
        <v>5</v>
      </c>
      <c r="B8" s="372" t="s">
        <v>67</v>
      </c>
      <c r="C8" s="391">
        <v>7</v>
      </c>
      <c r="D8" s="392">
        <f>[2]CONSOLIDADO!C59</f>
        <v>0.81</v>
      </c>
      <c r="E8" s="395">
        <f>[2]CONSOLIDADO!D59</f>
        <v>681927000</v>
      </c>
      <c r="F8" s="395">
        <f>[2]CONSOLIDADO!E59</f>
        <v>170383010.22</v>
      </c>
      <c r="G8" s="394">
        <f t="shared" si="0"/>
        <v>0.24985520476531944</v>
      </c>
    </row>
    <row r="9" spans="1:7" ht="36" x14ac:dyDescent="0.2">
      <c r="A9" s="17">
        <v>6</v>
      </c>
      <c r="B9" s="372" t="s">
        <v>68</v>
      </c>
      <c r="C9" s="391">
        <v>3</v>
      </c>
      <c r="D9" s="392">
        <f>[2]CONSOLIDADO!C60</f>
        <v>1</v>
      </c>
      <c r="E9" s="395">
        <f>[2]CONSOLIDADO!D60</f>
        <v>6437885732</v>
      </c>
      <c r="F9" s="395">
        <f>[2]CONSOLIDADO!E60</f>
        <v>4928951961.04</v>
      </c>
      <c r="G9" s="394">
        <f t="shared" si="0"/>
        <v>0.76561656516211063</v>
      </c>
    </row>
    <row r="10" spans="1:7" ht="36" x14ac:dyDescent="0.2">
      <c r="A10" s="17">
        <v>7</v>
      </c>
      <c r="B10" s="372" t="s">
        <v>69</v>
      </c>
      <c r="C10" s="391">
        <v>1</v>
      </c>
      <c r="D10" s="392">
        <f>[2]CONSOLIDADO!C61</f>
        <v>1</v>
      </c>
      <c r="E10" s="395">
        <f>[2]CONSOLIDADO!D61</f>
        <v>420000000</v>
      </c>
      <c r="F10" s="395">
        <f>[2]CONSOLIDADO!E61</f>
        <v>376019476.98000002</v>
      </c>
      <c r="G10" s="394">
        <f t="shared" si="0"/>
        <v>0.89528446900000003</v>
      </c>
    </row>
    <row r="11" spans="1:7" ht="36" x14ac:dyDescent="0.2">
      <c r="A11" s="17">
        <v>8</v>
      </c>
      <c r="B11" s="372" t="s">
        <v>70</v>
      </c>
      <c r="C11" s="391">
        <v>3</v>
      </c>
      <c r="D11" s="392">
        <f>[2]CONSOLIDADO!C62</f>
        <v>0.99</v>
      </c>
      <c r="E11" s="395">
        <f>[2]CONSOLIDADO!D62</f>
        <v>385420500</v>
      </c>
      <c r="F11" s="395">
        <f>[2]CONSOLIDADO!E62</f>
        <v>328735227.31</v>
      </c>
      <c r="G11" s="394">
        <f t="shared" si="0"/>
        <v>0.8529261606738614</v>
      </c>
    </row>
    <row r="12" spans="1:7" ht="54" x14ac:dyDescent="0.2">
      <c r="A12" s="17">
        <v>9</v>
      </c>
      <c r="B12" s="372" t="s">
        <v>71</v>
      </c>
      <c r="C12" s="391">
        <v>2</v>
      </c>
      <c r="D12" s="392">
        <f>[2]CONSOLIDADO!C63</f>
        <v>1</v>
      </c>
      <c r="E12" s="395">
        <f>[2]CONSOLIDADO!D63</f>
        <v>736336500</v>
      </c>
      <c r="F12" s="395">
        <f>[2]CONSOLIDADO!E63</f>
        <v>668479119.60000002</v>
      </c>
      <c r="G12" s="394">
        <f t="shared" si="0"/>
        <v>0.90784460582899262</v>
      </c>
    </row>
    <row r="13" spans="1:7" ht="43.5" customHeight="1" x14ac:dyDescent="0.2">
      <c r="A13" s="17">
        <v>10</v>
      </c>
      <c r="B13" s="372" t="s">
        <v>72</v>
      </c>
      <c r="C13" s="391">
        <v>4</v>
      </c>
      <c r="D13" s="396">
        <f>[2]CONSOLIDADO!C64</f>
        <v>0.93</v>
      </c>
      <c r="E13" s="395">
        <f>[2]CONSOLIDADO!D64</f>
        <v>48000000</v>
      </c>
      <c r="F13" s="395">
        <f>[2]CONSOLIDADO!E64</f>
        <v>29100000</v>
      </c>
      <c r="G13" s="394">
        <f t="shared" si="0"/>
        <v>0.60624999999999996</v>
      </c>
    </row>
    <row r="14" spans="1:7" ht="36" x14ac:dyDescent="0.2">
      <c r="A14" s="17">
        <v>11</v>
      </c>
      <c r="B14" s="372" t="s">
        <v>73</v>
      </c>
      <c r="C14" s="391">
        <v>4</v>
      </c>
      <c r="D14" s="392">
        <f>[2]CONSOLIDADO!C65</f>
        <v>1</v>
      </c>
      <c r="E14" s="395">
        <f>[2]CONSOLIDADO!D65</f>
        <v>115740000</v>
      </c>
      <c r="F14" s="395">
        <f>[2]CONSOLIDADO!E65</f>
        <v>76876711</v>
      </c>
      <c r="G14" s="394">
        <f t="shared" si="0"/>
        <v>0.66421903404181781</v>
      </c>
    </row>
    <row r="15" spans="1:7" ht="54" x14ac:dyDescent="0.2">
      <c r="A15" s="17">
        <v>12</v>
      </c>
      <c r="B15" s="372" t="s">
        <v>74</v>
      </c>
      <c r="C15" s="391">
        <v>3</v>
      </c>
      <c r="D15" s="396">
        <f>[2]CONSOLIDADO!C66</f>
        <v>0.97</v>
      </c>
      <c r="E15" s="395">
        <f>[2]CONSOLIDADO!D66</f>
        <v>70415000</v>
      </c>
      <c r="F15" s="395">
        <f>[2]CONSOLIDADO!E66</f>
        <v>68005733</v>
      </c>
      <c r="G15" s="394">
        <f t="shared" si="0"/>
        <v>0.96578474756798982</v>
      </c>
    </row>
    <row r="16" spans="1:7" ht="18" x14ac:dyDescent="0.2">
      <c r="A16" s="17">
        <v>13</v>
      </c>
      <c r="B16" s="372" t="s">
        <v>75</v>
      </c>
      <c r="C16" s="391">
        <v>3</v>
      </c>
      <c r="D16" s="396">
        <f>[2]CONSOLIDADO!C67</f>
        <v>1</v>
      </c>
      <c r="E16" s="395">
        <f>[2]CONSOLIDADO!D67</f>
        <v>340000000</v>
      </c>
      <c r="F16" s="395">
        <f>[2]CONSOLIDADO!E67</f>
        <v>160931533</v>
      </c>
      <c r="G16" s="394">
        <f t="shared" si="0"/>
        <v>0.47332803823529412</v>
      </c>
    </row>
    <row r="17" spans="1:9" ht="76.5" customHeight="1" thickBot="1" x14ac:dyDescent="0.25">
      <c r="A17" s="17">
        <v>14</v>
      </c>
      <c r="B17" s="377" t="s">
        <v>76</v>
      </c>
      <c r="C17" s="397">
        <v>4</v>
      </c>
      <c r="D17" s="398">
        <f>[2]CONSOLIDADO!C68</f>
        <v>1</v>
      </c>
      <c r="E17" s="399">
        <f>[2]CONSOLIDADO!D68</f>
        <v>7842847529.0900002</v>
      </c>
      <c r="F17" s="399">
        <f>[2]CONSOLIDADO!E68</f>
        <v>1625455701.1400001</v>
      </c>
      <c r="G17" s="400">
        <f t="shared" si="0"/>
        <v>0.20725325783919715</v>
      </c>
    </row>
    <row r="18" spans="1:9" ht="18.75" customHeight="1" thickBot="1" x14ac:dyDescent="0.25">
      <c r="A18" s="17"/>
      <c r="B18" s="401" t="s">
        <v>52</v>
      </c>
      <c r="C18" s="402">
        <f>SUM(C4:C17)</f>
        <v>48</v>
      </c>
      <c r="D18" s="403">
        <f>SUM(D4:D17)/14</f>
        <v>0.84642857142857142</v>
      </c>
      <c r="E18" s="404">
        <f>SUM(E4:E17)</f>
        <v>17662222620.09</v>
      </c>
      <c r="F18" s="404">
        <f>SUM(F4:F17)</f>
        <v>8767101876.1800003</v>
      </c>
      <c r="G18" s="405">
        <f>F18/E18</f>
        <v>0.49637591285978971</v>
      </c>
    </row>
    <row r="19" spans="1:9" ht="18.75" hidden="1" customHeight="1" x14ac:dyDescent="0.2">
      <c r="A19" s="17"/>
      <c r="B19" s="240"/>
      <c r="C19" s="241"/>
      <c r="D19" s="102">
        <v>1</v>
      </c>
      <c r="E19" s="105"/>
      <c r="F19" s="105"/>
      <c r="G19" s="76">
        <v>1</v>
      </c>
    </row>
    <row r="20" spans="1:9" ht="18.75" hidden="1" customHeight="1" x14ac:dyDescent="0.2">
      <c r="A20" s="239"/>
      <c r="B20" s="242"/>
      <c r="C20" s="242"/>
      <c r="D20" s="102">
        <v>0</v>
      </c>
      <c r="E20" s="75"/>
      <c r="F20" s="75"/>
      <c r="G20" s="229">
        <v>0</v>
      </c>
      <c r="H20" s="243"/>
    </row>
    <row r="21" spans="1:9" ht="18.75" customHeight="1" thickBot="1" x14ac:dyDescent="0.25">
      <c r="A21" s="239"/>
      <c r="B21" s="242"/>
      <c r="C21" s="242"/>
      <c r="D21" s="242"/>
      <c r="E21" s="75"/>
      <c r="F21" s="75"/>
      <c r="G21" s="76"/>
      <c r="H21" s="243"/>
    </row>
    <row r="22" spans="1:9" ht="13.5" thickBot="1" x14ac:dyDescent="0.25">
      <c r="B22" s="242"/>
      <c r="C22" s="242"/>
      <c r="D22" s="242"/>
      <c r="E22" s="226" t="s">
        <v>13</v>
      </c>
      <c r="F22" s="227" t="s">
        <v>14</v>
      </c>
      <c r="G22" s="228" t="s">
        <v>15</v>
      </c>
    </row>
    <row r="23" spans="1:9" x14ac:dyDescent="0.2">
      <c r="B23" s="244"/>
      <c r="C23" s="244"/>
      <c r="D23" s="244"/>
      <c r="E23" s="155" t="s">
        <v>345</v>
      </c>
      <c r="F23" s="156">
        <v>40</v>
      </c>
      <c r="G23" s="23">
        <f>F23/F26</f>
        <v>0.83333333333333337</v>
      </c>
    </row>
    <row r="24" spans="1:9" x14ac:dyDescent="0.2">
      <c r="E24" s="157" t="s">
        <v>346</v>
      </c>
      <c r="F24" s="158">
        <v>1</v>
      </c>
      <c r="G24" s="23">
        <f>F24/F26</f>
        <v>2.0833333333333332E-2</v>
      </c>
    </row>
    <row r="25" spans="1:9" ht="13.5" thickBot="1" x14ac:dyDescent="0.25">
      <c r="E25" s="157" t="s">
        <v>344</v>
      </c>
      <c r="F25" s="245">
        <v>7</v>
      </c>
      <c r="G25" s="77">
        <f>F25/F26</f>
        <v>0.14583333333333334</v>
      </c>
    </row>
    <row r="26" spans="1:9" ht="13.5" thickBot="1" x14ac:dyDescent="0.25">
      <c r="E26" s="246" t="s">
        <v>17</v>
      </c>
      <c r="F26" s="247">
        <f>SUM(F23:F25)</f>
        <v>48</v>
      </c>
      <c r="G26" s="50"/>
    </row>
    <row r="27" spans="1:9" ht="13.5" thickBot="1" x14ac:dyDescent="0.25">
      <c r="E27" s="39"/>
      <c r="F27" s="39"/>
      <c r="G27" s="37"/>
    </row>
    <row r="28" spans="1:9" ht="13.5" thickBot="1" x14ac:dyDescent="0.25">
      <c r="E28" s="761" t="s">
        <v>26</v>
      </c>
      <c r="F28" s="762"/>
      <c r="G28" s="763"/>
    </row>
    <row r="29" spans="1:9" ht="13.5" thickBot="1" x14ac:dyDescent="0.25">
      <c r="E29" s="167" t="s">
        <v>3</v>
      </c>
      <c r="F29" s="168" t="s">
        <v>4</v>
      </c>
      <c r="G29" s="30" t="s">
        <v>213</v>
      </c>
    </row>
    <row r="30" spans="1:9" ht="13.5" thickBot="1" x14ac:dyDescent="0.25">
      <c r="E30" s="28">
        <f>E18</f>
        <v>17662222620.09</v>
      </c>
      <c r="F30" s="169">
        <f>F18</f>
        <v>8767101876.1800003</v>
      </c>
      <c r="G30" s="29">
        <f>G18</f>
        <v>0.49637591285978971</v>
      </c>
    </row>
    <row r="31" spans="1:9" x14ac:dyDescent="0.2">
      <c r="I31" s="248"/>
    </row>
  </sheetData>
  <autoFilter ref="G2:G31"/>
  <mergeCells count="2">
    <mergeCell ref="B2:G2"/>
    <mergeCell ref="E28:G28"/>
  </mergeCells>
  <conditionalFormatting sqref="D12:D19">
    <cfRule type="colorScale" priority="1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12:G19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20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min"/>
        <cfvo type="percent" val="25"/>
        <cfvo type="percent" val="100"/>
        <color rgb="FFFF0000"/>
        <color rgb="FFFFFF00"/>
        <color rgb="FF92D050"/>
      </colorScale>
    </cfRule>
  </conditionalFormatting>
  <conditionalFormatting sqref="D4:D19"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19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0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37"/>
  <sheetViews>
    <sheetView view="pageBreakPreview" zoomScale="73" zoomScaleNormal="68" zoomScaleSheetLayoutView="73" workbookViewId="0">
      <selection activeCell="F28" sqref="F28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214" customWidth="1"/>
    <col min="3" max="4" width="20.5703125" style="214" customWidth="1"/>
    <col min="5" max="5" width="28.28515625" style="16" bestFit="1" customWidth="1"/>
    <col min="6" max="6" width="28.140625" style="16" bestFit="1" customWidth="1"/>
    <col min="7" max="7" width="20.5703125" style="15" customWidth="1"/>
    <col min="8" max="8" width="16.42578125" style="15" customWidth="1"/>
    <col min="9" max="9" width="22.42578125" style="15" customWidth="1"/>
    <col min="10" max="16384" width="11.42578125" style="15"/>
  </cols>
  <sheetData>
    <row r="1" spans="1:7" ht="13.5" thickBot="1" x14ac:dyDescent="0.25"/>
    <row r="2" spans="1:7" ht="65.25" customHeight="1" thickBot="1" x14ac:dyDescent="0.25">
      <c r="B2" s="758" t="s">
        <v>323</v>
      </c>
      <c r="C2" s="759"/>
      <c r="D2" s="759"/>
      <c r="E2" s="759"/>
      <c r="F2" s="759"/>
      <c r="G2" s="760"/>
    </row>
    <row r="3" spans="1:7" ht="99" customHeight="1" thickBot="1" x14ac:dyDescent="0.25">
      <c r="B3" s="79" t="s">
        <v>1</v>
      </c>
      <c r="C3" s="144" t="s">
        <v>54</v>
      </c>
      <c r="D3" s="144" t="s">
        <v>62</v>
      </c>
      <c r="E3" s="145" t="s">
        <v>56</v>
      </c>
      <c r="F3" s="146" t="s">
        <v>57</v>
      </c>
      <c r="G3" s="147" t="s">
        <v>55</v>
      </c>
    </row>
    <row r="4" spans="1:7" ht="23.25" customHeight="1" x14ac:dyDescent="0.2">
      <c r="A4" s="17">
        <v>1</v>
      </c>
      <c r="B4" s="407" t="s">
        <v>277</v>
      </c>
      <c r="C4" s="387">
        <f>[3]CONSOLIDADO!C277</f>
        <v>8</v>
      </c>
      <c r="D4" s="388">
        <f>[3]CONSOLIDADO!D277</f>
        <v>0.97</v>
      </c>
      <c r="E4" s="408">
        <f>[3]CONSOLIDADO!E277</f>
        <v>62397222</v>
      </c>
      <c r="F4" s="408">
        <f>[3]CONSOLIDADO!F277</f>
        <v>37308846</v>
      </c>
      <c r="G4" s="409">
        <f t="shared" ref="G4:G21" si="0">F4/E4</f>
        <v>0.59792479222873096</v>
      </c>
    </row>
    <row r="5" spans="1:7" ht="25.5" customHeight="1" x14ac:dyDescent="0.2">
      <c r="A5" s="17">
        <v>2</v>
      </c>
      <c r="B5" s="410" t="s">
        <v>278</v>
      </c>
      <c r="C5" s="391">
        <f>[3]CONSOLIDADO!C278</f>
        <v>14</v>
      </c>
      <c r="D5" s="392">
        <f>[3]CONSOLIDADO!D278</f>
        <v>1</v>
      </c>
      <c r="E5" s="411">
        <f>[3]CONSOLIDADO!E278</f>
        <v>203856599</v>
      </c>
      <c r="F5" s="411">
        <f>[3]CONSOLIDADO!F278</f>
        <v>134705529</v>
      </c>
      <c r="G5" s="412">
        <f t="shared" si="0"/>
        <v>0.66078571731690672</v>
      </c>
    </row>
    <row r="6" spans="1:7" ht="30" customHeight="1" x14ac:dyDescent="0.2">
      <c r="A6" s="17">
        <v>3</v>
      </c>
      <c r="B6" s="410" t="s">
        <v>279</v>
      </c>
      <c r="C6" s="391">
        <f>[3]CONSOLIDADO!C279</f>
        <v>12</v>
      </c>
      <c r="D6" s="392">
        <f>[3]CONSOLIDADO!D279</f>
        <v>0.97</v>
      </c>
      <c r="E6" s="411">
        <f>[3]CONSOLIDADO!E279</f>
        <v>169056818</v>
      </c>
      <c r="F6" s="411">
        <f>[3]CONSOLIDADO!F279</f>
        <v>112462103</v>
      </c>
      <c r="G6" s="412">
        <f t="shared" si="0"/>
        <v>0.66523257878898445</v>
      </c>
    </row>
    <row r="7" spans="1:7" ht="28.5" customHeight="1" x14ac:dyDescent="0.2">
      <c r="A7" s="17">
        <v>4</v>
      </c>
      <c r="B7" s="413" t="s">
        <v>280</v>
      </c>
      <c r="C7" s="391">
        <f>[3]CONSOLIDADO!C280</f>
        <v>24</v>
      </c>
      <c r="D7" s="392">
        <f>[3]CONSOLIDADO!D280</f>
        <v>0.89</v>
      </c>
      <c r="E7" s="411">
        <f>[3]CONSOLIDADO!E280</f>
        <v>191917000</v>
      </c>
      <c r="F7" s="411">
        <f>[3]CONSOLIDADO!F280</f>
        <v>133780867</v>
      </c>
      <c r="G7" s="412">
        <f t="shared" si="0"/>
        <v>0.69707668940218948</v>
      </c>
    </row>
    <row r="8" spans="1:7" ht="33" customHeight="1" x14ac:dyDescent="0.2">
      <c r="A8" s="17">
        <v>5</v>
      </c>
      <c r="B8" s="413" t="s">
        <v>281</v>
      </c>
      <c r="C8" s="414">
        <f>[3]CONSOLIDADO!C281</f>
        <v>18</v>
      </c>
      <c r="D8" s="392">
        <f>[3]CONSOLIDADO!D281</f>
        <v>0.96</v>
      </c>
      <c r="E8" s="411">
        <f>[3]CONSOLIDADO!E281</f>
        <v>225218095</v>
      </c>
      <c r="F8" s="411">
        <f>[3]CONSOLIDADO!F281</f>
        <v>117185718</v>
      </c>
      <c r="G8" s="412">
        <f t="shared" si="0"/>
        <v>0.5203210603481927</v>
      </c>
    </row>
    <row r="9" spans="1:7" ht="30.75" customHeight="1" x14ac:dyDescent="0.2">
      <c r="A9" s="17">
        <v>6</v>
      </c>
      <c r="B9" s="413" t="s">
        <v>282</v>
      </c>
      <c r="C9" s="391">
        <f>[3]CONSOLIDADO!C282</f>
        <v>19</v>
      </c>
      <c r="D9" s="392">
        <f>[3]CONSOLIDADO!D282</f>
        <v>0.84</v>
      </c>
      <c r="E9" s="411">
        <f>[3]CONSOLIDADO!E282</f>
        <v>68000000</v>
      </c>
      <c r="F9" s="411">
        <f>[3]CONSOLIDADO!F282</f>
        <v>60499998</v>
      </c>
      <c r="G9" s="412">
        <f t="shared" si="0"/>
        <v>0.88970585294117643</v>
      </c>
    </row>
    <row r="10" spans="1:7" ht="28.5" customHeight="1" x14ac:dyDescent="0.2">
      <c r="A10" s="17">
        <v>7</v>
      </c>
      <c r="B10" s="413" t="s">
        <v>283</v>
      </c>
      <c r="C10" s="415">
        <f>[3]CONSOLIDADO!C283</f>
        <v>22</v>
      </c>
      <c r="D10" s="392">
        <f>[3]CONSOLIDADO!D283</f>
        <v>0.94</v>
      </c>
      <c r="E10" s="416">
        <f>[3]CONSOLIDADO!E283</f>
        <v>382767000</v>
      </c>
      <c r="F10" s="416">
        <f>[3]CONSOLIDADO!F283</f>
        <v>201859231</v>
      </c>
      <c r="G10" s="412">
        <f t="shared" si="0"/>
        <v>0.52736842779027449</v>
      </c>
    </row>
    <row r="11" spans="1:7" ht="24.75" customHeight="1" x14ac:dyDescent="0.2">
      <c r="A11" s="17">
        <v>8</v>
      </c>
      <c r="B11" s="413" t="s">
        <v>284</v>
      </c>
      <c r="C11" s="391">
        <f>[3]CONSOLIDADO!C284</f>
        <v>7</v>
      </c>
      <c r="D11" s="392">
        <f>[3]CONSOLIDADO!D284</f>
        <v>0.89</v>
      </c>
      <c r="E11" s="416">
        <f>[3]CONSOLIDADO!E284</f>
        <v>5537207999</v>
      </c>
      <c r="F11" s="416">
        <f>[3]CONSOLIDADO!F284</f>
        <v>3389194620</v>
      </c>
      <c r="G11" s="412">
        <f t="shared" si="0"/>
        <v>0.61207645091390395</v>
      </c>
    </row>
    <row r="12" spans="1:7" ht="34.5" customHeight="1" x14ac:dyDescent="0.2">
      <c r="A12" s="17">
        <v>9</v>
      </c>
      <c r="B12" s="413" t="s">
        <v>285</v>
      </c>
      <c r="C12" s="391">
        <f>[3]CONSOLIDADO!C285</f>
        <v>25</v>
      </c>
      <c r="D12" s="392">
        <f>[3]CONSOLIDADO!D285</f>
        <v>0.94</v>
      </c>
      <c r="E12" s="411">
        <f>[3]CONSOLIDADO!E285</f>
        <v>609725826</v>
      </c>
      <c r="F12" s="411">
        <f>[3]CONSOLIDADO!F285</f>
        <v>259525826</v>
      </c>
      <c r="G12" s="412">
        <f t="shared" si="0"/>
        <v>0.4256434858640874</v>
      </c>
    </row>
    <row r="13" spans="1:7" ht="30" customHeight="1" x14ac:dyDescent="0.2">
      <c r="A13" s="17">
        <v>10</v>
      </c>
      <c r="B13" s="413" t="s">
        <v>286</v>
      </c>
      <c r="C13" s="391">
        <f>[3]CONSOLIDADO!C286</f>
        <v>22</v>
      </c>
      <c r="D13" s="392">
        <f>[3]CONSOLIDADO!D286</f>
        <v>0.97</v>
      </c>
      <c r="E13" s="411">
        <f>[3]CONSOLIDADO!E286</f>
        <v>324324000</v>
      </c>
      <c r="F13" s="411">
        <f>[3]CONSOLIDADO!F286</f>
        <v>159516811</v>
      </c>
      <c r="G13" s="412">
        <f t="shared" si="0"/>
        <v>0.49184399242732574</v>
      </c>
    </row>
    <row r="14" spans="1:7" ht="28.5" customHeight="1" x14ac:dyDescent="0.2">
      <c r="A14" s="17">
        <v>11</v>
      </c>
      <c r="B14" s="413" t="s">
        <v>287</v>
      </c>
      <c r="C14" s="391">
        <f>[3]CONSOLIDADO!C287</f>
        <v>25</v>
      </c>
      <c r="D14" s="392">
        <f>[3]CONSOLIDADO!D287</f>
        <v>0.99</v>
      </c>
      <c r="E14" s="416">
        <f>[3]CONSOLIDADO!E287</f>
        <v>180520000</v>
      </c>
      <c r="F14" s="416">
        <f>[3]CONSOLIDADO!F287</f>
        <v>103017213</v>
      </c>
      <c r="G14" s="412">
        <f t="shared" si="0"/>
        <v>0.57066924994460444</v>
      </c>
    </row>
    <row r="15" spans="1:7" ht="26.25" customHeight="1" x14ac:dyDescent="0.2">
      <c r="A15" s="17">
        <v>12</v>
      </c>
      <c r="B15" s="413" t="s">
        <v>288</v>
      </c>
      <c r="C15" s="391">
        <f>[3]CONSOLIDADO!C288</f>
        <v>1</v>
      </c>
      <c r="D15" s="392">
        <f>[3]CONSOLIDADO!D288</f>
        <v>1</v>
      </c>
      <c r="E15" s="411">
        <f>[3]CONSOLIDADO!E288</f>
        <v>187337471</v>
      </c>
      <c r="F15" s="411">
        <f>[3]CONSOLIDADO!F288</f>
        <v>161966497</v>
      </c>
      <c r="G15" s="412">
        <f t="shared" si="0"/>
        <v>0.8645707456998819</v>
      </c>
    </row>
    <row r="16" spans="1:7" ht="26.25" customHeight="1" x14ac:dyDescent="0.2">
      <c r="A16" s="17">
        <v>13</v>
      </c>
      <c r="B16" s="410" t="s">
        <v>289</v>
      </c>
      <c r="C16" s="417">
        <f>[3]CONSOLIDADO!C289</f>
        <v>24</v>
      </c>
      <c r="D16" s="392">
        <f>[3]CONSOLIDADO!D289</f>
        <v>0.95</v>
      </c>
      <c r="E16" s="411">
        <f>[3]CONSOLIDADO!E289</f>
        <v>294025000</v>
      </c>
      <c r="F16" s="411">
        <f>[3]CONSOLIDADO!F289</f>
        <v>211482587</v>
      </c>
      <c r="G16" s="412">
        <f t="shared" si="0"/>
        <v>0.71926736501998134</v>
      </c>
    </row>
    <row r="17" spans="1:9" ht="28.5" customHeight="1" x14ac:dyDescent="0.2">
      <c r="A17" s="17">
        <v>14</v>
      </c>
      <c r="B17" s="410" t="s">
        <v>290</v>
      </c>
      <c r="C17" s="417">
        <f>[3]CONSOLIDADO!C290</f>
        <v>7</v>
      </c>
      <c r="D17" s="392">
        <f>[3]CONSOLIDADO!D290</f>
        <v>1</v>
      </c>
      <c r="E17" s="411">
        <f>[3]CONSOLIDADO!E290</f>
        <v>110045000</v>
      </c>
      <c r="F17" s="411">
        <f>[3]CONSOLIDADO!F290</f>
        <v>96783800</v>
      </c>
      <c r="G17" s="412">
        <f t="shared" si="0"/>
        <v>0.8794929347085283</v>
      </c>
    </row>
    <row r="18" spans="1:9" ht="39.75" customHeight="1" x14ac:dyDescent="0.2">
      <c r="A18" s="17">
        <v>15</v>
      </c>
      <c r="B18" s="410" t="s">
        <v>291</v>
      </c>
      <c r="C18" s="417">
        <f>[3]CONSOLIDADO!C291</f>
        <v>6</v>
      </c>
      <c r="D18" s="392">
        <f>[3]CONSOLIDADO!D291</f>
        <v>0.8</v>
      </c>
      <c r="E18" s="411">
        <f>[3]CONSOLIDADO!E291</f>
        <v>2767584761</v>
      </c>
      <c r="F18" s="411">
        <f>[3]CONSOLIDADO!F291</f>
        <v>551955319</v>
      </c>
      <c r="G18" s="412">
        <f t="shared" si="0"/>
        <v>0.19943574150934559</v>
      </c>
    </row>
    <row r="19" spans="1:9" ht="30" customHeight="1" x14ac:dyDescent="0.2">
      <c r="A19" s="17">
        <v>16</v>
      </c>
      <c r="B19" s="410" t="s">
        <v>292</v>
      </c>
      <c r="C19" s="391">
        <f>[3]CONSOLIDADO!C292</f>
        <v>16</v>
      </c>
      <c r="D19" s="392">
        <f>[3]CONSOLIDADO!D292</f>
        <v>1</v>
      </c>
      <c r="E19" s="411">
        <f>[3]CONSOLIDADO!E292</f>
        <v>277173095</v>
      </c>
      <c r="F19" s="411">
        <f>[3]CONSOLIDADO!F292</f>
        <v>252870885</v>
      </c>
      <c r="G19" s="412">
        <f t="shared" si="0"/>
        <v>0.91232117965850912</v>
      </c>
      <c r="I19" s="433"/>
    </row>
    <row r="20" spans="1:9" ht="30" customHeight="1" thickBot="1" x14ac:dyDescent="0.25">
      <c r="A20" s="17">
        <v>17</v>
      </c>
      <c r="B20" s="410" t="s">
        <v>293</v>
      </c>
      <c r="C20" s="418">
        <f>[3]CONSOLIDADO!C293</f>
        <v>20</v>
      </c>
      <c r="D20" s="398">
        <f>[3]CONSOLIDADO!D293</f>
        <v>0.88</v>
      </c>
      <c r="E20" s="419">
        <f>[3]CONSOLIDADO!E293</f>
        <v>214619636</v>
      </c>
      <c r="F20" s="419">
        <f>[3]CONSOLIDADO!F293</f>
        <v>159732088</v>
      </c>
      <c r="G20" s="420">
        <f t="shared" si="0"/>
        <v>0.74425663456068858</v>
      </c>
    </row>
    <row r="21" spans="1:9" ht="25.5" customHeight="1" thickBot="1" x14ac:dyDescent="0.25">
      <c r="B21" s="381" t="s">
        <v>0</v>
      </c>
      <c r="C21" s="421">
        <f>SUM(C4:C20)</f>
        <v>270</v>
      </c>
      <c r="D21" s="422">
        <f>SUM(D4:D20)/17</f>
        <v>0.94058823529411772</v>
      </c>
      <c r="E21" s="432">
        <f>SUM(E3:E20)</f>
        <v>11805775522</v>
      </c>
      <c r="F21" s="432">
        <f>SUM(F3:F20)</f>
        <v>6143847938</v>
      </c>
      <c r="G21" s="423">
        <f t="shared" si="0"/>
        <v>0.52041036410958108</v>
      </c>
    </row>
    <row r="22" spans="1:9" hidden="1" x14ac:dyDescent="0.2">
      <c r="B22" s="25"/>
      <c r="C22" s="36"/>
      <c r="D22" s="106">
        <v>1</v>
      </c>
      <c r="E22" s="36"/>
      <c r="F22" s="236"/>
      <c r="G22" s="36">
        <v>1</v>
      </c>
    </row>
    <row r="23" spans="1:9" ht="11.25" hidden="1" customHeight="1" x14ac:dyDescent="0.2">
      <c r="B23" s="25"/>
      <c r="C23" s="25"/>
      <c r="D23" s="230">
        <v>0</v>
      </c>
      <c r="E23" s="236"/>
      <c r="F23" s="236"/>
      <c r="G23" s="237">
        <v>0</v>
      </c>
    </row>
    <row r="24" spans="1:9" ht="17.100000000000001" customHeight="1" thickBot="1" x14ac:dyDescent="0.25">
      <c r="B24" s="25"/>
      <c r="C24" s="25"/>
      <c r="D24" s="25"/>
      <c r="E24" s="236"/>
      <c r="F24" s="236"/>
      <c r="G24" s="36"/>
    </row>
    <row r="25" spans="1:9" ht="14.25" customHeight="1" thickBot="1" x14ac:dyDescent="0.25">
      <c r="E25" s="761" t="s">
        <v>16</v>
      </c>
      <c r="F25" s="762"/>
      <c r="G25" s="763"/>
    </row>
    <row r="26" spans="1:9" ht="14.25" customHeight="1" thickBot="1" x14ac:dyDescent="0.25">
      <c r="E26" s="226" t="s">
        <v>13</v>
      </c>
      <c r="F26" s="227" t="s">
        <v>14</v>
      </c>
      <c r="G26" s="228" t="s">
        <v>15</v>
      </c>
    </row>
    <row r="27" spans="1:9" ht="15" customHeight="1" x14ac:dyDescent="0.2">
      <c r="E27" s="155" t="s">
        <v>345</v>
      </c>
      <c r="F27" s="156">
        <v>227</v>
      </c>
      <c r="G27" s="23">
        <f>F27/F30</f>
        <v>0.84074074074074079</v>
      </c>
    </row>
    <row r="28" spans="1:9" ht="14.25" customHeight="1" x14ac:dyDescent="0.2">
      <c r="E28" s="157" t="s">
        <v>346</v>
      </c>
      <c r="F28" s="158">
        <v>8</v>
      </c>
      <c r="G28" s="23">
        <f>F28/F30</f>
        <v>2.9629629629629631E-2</v>
      </c>
    </row>
    <row r="29" spans="1:9" ht="14.25" customHeight="1" thickBot="1" x14ac:dyDescent="0.25">
      <c r="E29" s="157" t="s">
        <v>344</v>
      </c>
      <c r="F29" s="160">
        <v>35</v>
      </c>
      <c r="G29" s="23">
        <f>F29/F30</f>
        <v>0.12962962962962962</v>
      </c>
    </row>
    <row r="30" spans="1:9" ht="14.25" customHeight="1" thickBot="1" x14ac:dyDescent="0.25">
      <c r="E30" s="161" t="s">
        <v>17</v>
      </c>
      <c r="F30" s="162">
        <f>SUM(F27:F29)</f>
        <v>270</v>
      </c>
      <c r="G30" s="50"/>
    </row>
    <row r="31" spans="1:9" s="16" customFormat="1" ht="14.25" customHeight="1" thickBot="1" x14ac:dyDescent="0.25">
      <c r="A31" s="15"/>
      <c r="B31" s="238"/>
      <c r="C31" s="238"/>
      <c r="D31" s="238"/>
      <c r="E31" s="39"/>
      <c r="F31" s="39"/>
      <c r="G31" s="37"/>
    </row>
    <row r="32" spans="1:9" s="16" customFormat="1" ht="14.25" customHeight="1" thickBot="1" x14ac:dyDescent="0.25">
      <c r="A32" s="15"/>
      <c r="B32" s="238"/>
      <c r="C32" s="238"/>
      <c r="D32" s="238"/>
      <c r="E32" s="761" t="s">
        <v>18</v>
      </c>
      <c r="F32" s="762"/>
      <c r="G32" s="763"/>
    </row>
    <row r="33" spans="1:7" s="16" customFormat="1" ht="14.25" customHeight="1" thickBot="1" x14ac:dyDescent="0.25">
      <c r="A33" s="15"/>
      <c r="B33" s="238"/>
      <c r="C33" s="238"/>
      <c r="D33" s="238"/>
      <c r="E33" s="167" t="s">
        <v>3</v>
      </c>
      <c r="F33" s="168" t="s">
        <v>4</v>
      </c>
      <c r="G33" s="30" t="s">
        <v>213</v>
      </c>
    </row>
    <row r="34" spans="1:7" s="16" customFormat="1" ht="14.25" customHeight="1" thickBot="1" x14ac:dyDescent="0.25">
      <c r="A34" s="15"/>
      <c r="B34" s="238"/>
      <c r="C34" s="238"/>
      <c r="D34" s="238"/>
      <c r="E34" s="28">
        <f>E21</f>
        <v>11805775522</v>
      </c>
      <c r="F34" s="169">
        <f>F21</f>
        <v>6143847938</v>
      </c>
      <c r="G34" s="29">
        <f>G21</f>
        <v>0.52041036410958108</v>
      </c>
    </row>
    <row r="35" spans="1:7" s="16" customFormat="1" ht="15" customHeight="1" x14ac:dyDescent="0.2">
      <c r="A35" s="15"/>
      <c r="B35" s="238"/>
      <c r="C35" s="238"/>
      <c r="D35" s="238"/>
      <c r="G35" s="15"/>
    </row>
    <row r="36" spans="1:7" s="16" customFormat="1" ht="14.25" customHeight="1" x14ac:dyDescent="0.2">
      <c r="A36" s="15"/>
      <c r="B36" s="238"/>
      <c r="C36" s="238"/>
      <c r="D36" s="238"/>
      <c r="G36" s="15"/>
    </row>
    <row r="37" spans="1:7" s="16" customFormat="1" ht="14.25" customHeight="1" x14ac:dyDescent="0.2">
      <c r="A37" s="15"/>
      <c r="B37" s="238"/>
      <c r="C37" s="238"/>
      <c r="D37" s="238"/>
      <c r="G37" s="15"/>
    </row>
  </sheetData>
  <mergeCells count="3">
    <mergeCell ref="B2:G2"/>
    <mergeCell ref="E25:G25"/>
    <mergeCell ref="E32:G32"/>
  </mergeCells>
  <conditionalFormatting sqref="G4:G22">
    <cfRule type="colorScale" priority="1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22">
    <cfRule type="colorScale" priority="7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D4:D23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G4:G23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1"/>
  <sheetViews>
    <sheetView view="pageBreakPreview" zoomScale="60" zoomScaleNormal="80" workbookViewId="0">
      <selection activeCell="H48" sqref="H48"/>
    </sheetView>
  </sheetViews>
  <sheetFormatPr baseColWidth="10" defaultColWidth="11.42578125" defaultRowHeight="12.75" x14ac:dyDescent="0.2"/>
  <cols>
    <col min="1" max="1" width="3" style="15" bestFit="1" customWidth="1"/>
    <col min="2" max="2" width="60.5703125" style="15" customWidth="1"/>
    <col min="3" max="4" width="20.5703125" style="15" customWidth="1"/>
    <col min="5" max="5" width="29.85546875" style="16" bestFit="1" customWidth="1"/>
    <col min="6" max="6" width="28.85546875" style="16" bestFit="1" customWidth="1"/>
    <col min="7" max="7" width="23" style="15" customWidth="1"/>
    <col min="8" max="8" width="16.42578125" style="15" customWidth="1"/>
    <col min="9" max="9" width="12.85546875" style="15" customWidth="1"/>
    <col min="10" max="16384" width="11.42578125" style="15"/>
  </cols>
  <sheetData>
    <row r="1" spans="1:7" ht="13.5" thickBot="1" x14ac:dyDescent="0.25"/>
    <row r="2" spans="1:7" ht="69.75" customHeight="1" thickBot="1" x14ac:dyDescent="0.25">
      <c r="B2" s="758" t="s">
        <v>324</v>
      </c>
      <c r="C2" s="759"/>
      <c r="D2" s="759"/>
      <c r="E2" s="759"/>
      <c r="F2" s="759"/>
      <c r="G2" s="760"/>
    </row>
    <row r="3" spans="1:7" ht="78.75" customHeight="1" thickBot="1" x14ac:dyDescent="0.25">
      <c r="B3" s="79" t="s">
        <v>1</v>
      </c>
      <c r="C3" s="144" t="s">
        <v>54</v>
      </c>
      <c r="D3" s="144" t="s">
        <v>62</v>
      </c>
      <c r="E3" s="145" t="s">
        <v>56</v>
      </c>
      <c r="F3" s="146" t="s">
        <v>57</v>
      </c>
      <c r="G3" s="147" t="s">
        <v>55</v>
      </c>
    </row>
    <row r="4" spans="1:7" ht="21.95" customHeight="1" x14ac:dyDescent="0.2">
      <c r="A4" s="17">
        <v>1</v>
      </c>
      <c r="B4" s="434" t="s">
        <v>141</v>
      </c>
      <c r="C4" s="435">
        <v>1</v>
      </c>
      <c r="D4" s="388">
        <f>[4]CONSOLIDADO!D113</f>
        <v>1</v>
      </c>
      <c r="E4" s="436">
        <f>[4]CONSOLIDADO!E113</f>
        <v>107352000</v>
      </c>
      <c r="F4" s="436">
        <f>[4]CONSOLIDADO!F113</f>
        <v>100883997</v>
      </c>
      <c r="G4" s="371">
        <f>F4/E4</f>
        <v>0.93974958081824278</v>
      </c>
    </row>
    <row r="5" spans="1:7" ht="21.95" customHeight="1" x14ac:dyDescent="0.2">
      <c r="A5" s="17">
        <v>2</v>
      </c>
      <c r="B5" s="437" t="s">
        <v>142</v>
      </c>
      <c r="C5" s="438">
        <v>1</v>
      </c>
      <c r="D5" s="392">
        <f>[4]CONSOLIDADO!D114</f>
        <v>1</v>
      </c>
      <c r="E5" s="439">
        <f>[4]CONSOLIDADO!E114</f>
        <v>45500000</v>
      </c>
      <c r="F5" s="439">
        <f>[4]CONSOLIDADO!F114</f>
        <v>40800000</v>
      </c>
      <c r="G5" s="376">
        <f>F5/E5</f>
        <v>0.89670329670329674</v>
      </c>
    </row>
    <row r="6" spans="1:7" ht="21.95" customHeight="1" x14ac:dyDescent="0.2">
      <c r="A6" s="17">
        <v>3</v>
      </c>
      <c r="B6" s="372" t="s">
        <v>143</v>
      </c>
      <c r="C6" s="438">
        <v>2</v>
      </c>
      <c r="D6" s="392">
        <f>[4]CONSOLIDADO!D115</f>
        <v>1</v>
      </c>
      <c r="E6" s="440">
        <f>[4]CONSOLIDADO!E115</f>
        <v>351333332</v>
      </c>
      <c r="F6" s="439">
        <f>[4]CONSOLIDADO!F115</f>
        <v>351266665</v>
      </c>
      <c r="G6" s="376">
        <f t="shared" ref="G6:G26" si="0">F6/E6</f>
        <v>0.99981024572983013</v>
      </c>
    </row>
    <row r="7" spans="1:7" ht="21.95" customHeight="1" x14ac:dyDescent="0.2">
      <c r="A7" s="17">
        <v>4</v>
      </c>
      <c r="B7" s="437" t="s">
        <v>144</v>
      </c>
      <c r="C7" s="438">
        <v>1</v>
      </c>
      <c r="D7" s="392">
        <f>[4]CONSOLIDADO!D116</f>
        <v>1</v>
      </c>
      <c r="E7" s="441">
        <f>[4]CONSOLIDADO!E116</f>
        <v>139788722242.92001</v>
      </c>
      <c r="F7" s="442">
        <f>[4]CONSOLIDADO!F116</f>
        <v>138605274386.88</v>
      </c>
      <c r="G7" s="376">
        <f t="shared" si="0"/>
        <v>0.99153402479791286</v>
      </c>
    </row>
    <row r="8" spans="1:7" ht="21.95" customHeight="1" x14ac:dyDescent="0.2">
      <c r="A8" s="17">
        <v>5</v>
      </c>
      <c r="B8" s="443" t="s">
        <v>50</v>
      </c>
      <c r="C8" s="438">
        <v>2</v>
      </c>
      <c r="D8" s="392">
        <f>[4]CONSOLIDADO!D117</f>
        <v>1</v>
      </c>
      <c r="E8" s="440">
        <f>[4]CONSOLIDADO!E117</f>
        <v>535276921</v>
      </c>
      <c r="F8" s="440">
        <f>[4]CONSOLIDADO!F117</f>
        <v>494743059</v>
      </c>
      <c r="G8" s="376">
        <f t="shared" si="0"/>
        <v>0.9242749679469181</v>
      </c>
    </row>
    <row r="9" spans="1:7" ht="21.95" customHeight="1" x14ac:dyDescent="0.2">
      <c r="A9" s="17">
        <v>6</v>
      </c>
      <c r="B9" s="372" t="s">
        <v>145</v>
      </c>
      <c r="C9" s="438">
        <v>2</v>
      </c>
      <c r="D9" s="392">
        <f>[4]CONSOLIDADO!D118</f>
        <v>1</v>
      </c>
      <c r="E9" s="440">
        <f>[4]CONSOLIDADO!E118</f>
        <v>84040000</v>
      </c>
      <c r="F9" s="440">
        <f>[4]CONSOLIDADO!F118</f>
        <v>77899999</v>
      </c>
      <c r="G9" s="376">
        <f t="shared" si="0"/>
        <v>0.92693954069490714</v>
      </c>
    </row>
    <row r="10" spans="1:7" ht="40.5" customHeight="1" x14ac:dyDescent="0.2">
      <c r="A10" s="17">
        <v>7</v>
      </c>
      <c r="B10" s="444" t="s">
        <v>146</v>
      </c>
      <c r="C10" s="438">
        <v>4</v>
      </c>
      <c r="D10" s="392">
        <f>[4]CONSOLIDADO!D119</f>
        <v>1</v>
      </c>
      <c r="E10" s="440">
        <f>[4]CONSOLIDADO!E119</f>
        <v>91000000</v>
      </c>
      <c r="F10" s="440">
        <f>[4]CONSOLIDADO!F119</f>
        <v>84600000</v>
      </c>
      <c r="G10" s="376">
        <f t="shared" si="0"/>
        <v>0.9296703296703297</v>
      </c>
    </row>
    <row r="11" spans="1:7" ht="44.25" customHeight="1" x14ac:dyDescent="0.2">
      <c r="A11" s="17">
        <v>8</v>
      </c>
      <c r="B11" s="372" t="s">
        <v>147</v>
      </c>
      <c r="C11" s="438">
        <v>8</v>
      </c>
      <c r="D11" s="392">
        <f>[4]CONSOLIDADO!D120</f>
        <v>0.95</v>
      </c>
      <c r="E11" s="440">
        <f>[4]CONSOLIDADO!E120</f>
        <v>165993731</v>
      </c>
      <c r="F11" s="440">
        <f>[4]CONSOLIDADO!F120</f>
        <v>144540000</v>
      </c>
      <c r="G11" s="376">
        <f t="shared" si="0"/>
        <v>0.87075577571058993</v>
      </c>
    </row>
    <row r="12" spans="1:7" ht="21.95" customHeight="1" x14ac:dyDescent="0.2">
      <c r="A12" s="17">
        <v>9</v>
      </c>
      <c r="B12" s="372" t="s">
        <v>148</v>
      </c>
      <c r="C12" s="438">
        <v>7</v>
      </c>
      <c r="D12" s="392">
        <f>[4]CONSOLIDADO!D121</f>
        <v>1</v>
      </c>
      <c r="E12" s="440">
        <f>[4]CONSOLIDADO!E121</f>
        <v>294058290</v>
      </c>
      <c r="F12" s="440">
        <f>[4]CONSOLIDADO!F121</f>
        <v>281585212</v>
      </c>
      <c r="G12" s="376">
        <f t="shared" si="0"/>
        <v>0.95758297445040574</v>
      </c>
    </row>
    <row r="13" spans="1:7" ht="21.95" customHeight="1" x14ac:dyDescent="0.2">
      <c r="A13" s="17">
        <v>10</v>
      </c>
      <c r="B13" s="372" t="s">
        <v>149</v>
      </c>
      <c r="C13" s="438">
        <v>18</v>
      </c>
      <c r="D13" s="392">
        <f>[4]CONSOLIDADO!D122</f>
        <v>1</v>
      </c>
      <c r="E13" s="440">
        <f>[4]CONSOLIDADO!E122</f>
        <v>254955334</v>
      </c>
      <c r="F13" s="440">
        <f>[4]CONSOLIDADO!F122</f>
        <v>234746663</v>
      </c>
      <c r="G13" s="376">
        <f t="shared" si="0"/>
        <v>0.92073642593412064</v>
      </c>
    </row>
    <row r="14" spans="1:7" ht="21.95" customHeight="1" x14ac:dyDescent="0.2">
      <c r="A14" s="17">
        <v>11</v>
      </c>
      <c r="B14" s="372" t="s">
        <v>150</v>
      </c>
      <c r="C14" s="438">
        <v>2</v>
      </c>
      <c r="D14" s="392">
        <f>[4]CONSOLIDADO!D123</f>
        <v>1</v>
      </c>
      <c r="E14" s="440">
        <f>[4]CONSOLIDADO!E123</f>
        <v>370000000</v>
      </c>
      <c r="F14" s="440">
        <f>[4]CONSOLIDADO!F123</f>
        <v>370000000</v>
      </c>
      <c r="G14" s="376">
        <f t="shared" si="0"/>
        <v>1</v>
      </c>
    </row>
    <row r="15" spans="1:7" ht="39" customHeight="1" x14ac:dyDescent="0.2">
      <c r="A15" s="17">
        <v>12</v>
      </c>
      <c r="B15" s="372" t="s">
        <v>151</v>
      </c>
      <c r="C15" s="438">
        <v>4</v>
      </c>
      <c r="D15" s="392">
        <f>[4]CONSOLIDADO!D124</f>
        <v>1</v>
      </c>
      <c r="E15" s="440">
        <f>[4]CONSOLIDADO!E124</f>
        <v>226377500</v>
      </c>
      <c r="F15" s="440">
        <f>[4]CONSOLIDADO!F124</f>
        <v>216050000</v>
      </c>
      <c r="G15" s="376">
        <f t="shared" si="0"/>
        <v>0.95437930006294791</v>
      </c>
    </row>
    <row r="16" spans="1:7" ht="37.5" customHeight="1" x14ac:dyDescent="0.2">
      <c r="A16" s="17">
        <v>13</v>
      </c>
      <c r="B16" s="372" t="s">
        <v>152</v>
      </c>
      <c r="C16" s="438">
        <v>4</v>
      </c>
      <c r="D16" s="392">
        <f>[4]CONSOLIDADO!D125</f>
        <v>1</v>
      </c>
      <c r="E16" s="440">
        <f>[4]CONSOLIDADO!E125</f>
        <v>164397333</v>
      </c>
      <c r="F16" s="440">
        <f>[4]CONSOLIDADO!F125</f>
        <v>136499999</v>
      </c>
      <c r="G16" s="376">
        <f t="shared" si="0"/>
        <v>0.830305434456166</v>
      </c>
    </row>
    <row r="17" spans="1:7" ht="36.75" customHeight="1" x14ac:dyDescent="0.2">
      <c r="A17" s="17">
        <v>14</v>
      </c>
      <c r="B17" s="372" t="s">
        <v>153</v>
      </c>
      <c r="C17" s="438">
        <v>7</v>
      </c>
      <c r="D17" s="392">
        <f>[4]CONSOLIDADO!D126</f>
        <v>0.94</v>
      </c>
      <c r="E17" s="440">
        <f>[4]CONSOLIDADO!E126</f>
        <v>428833333</v>
      </c>
      <c r="F17" s="440">
        <f>[4]CONSOLIDADO!F126</f>
        <v>401166232</v>
      </c>
      <c r="G17" s="376">
        <f t="shared" si="0"/>
        <v>0.93548285809209708</v>
      </c>
    </row>
    <row r="18" spans="1:7" ht="21.95" customHeight="1" x14ac:dyDescent="0.2">
      <c r="A18" s="17">
        <v>15</v>
      </c>
      <c r="B18" s="372" t="s">
        <v>154</v>
      </c>
      <c r="C18" s="438">
        <v>4</v>
      </c>
      <c r="D18" s="392">
        <f>[4]CONSOLIDADO!D127</f>
        <v>1</v>
      </c>
      <c r="E18" s="440">
        <f>[4]CONSOLIDADO!E127</f>
        <v>658936291</v>
      </c>
      <c r="F18" s="440">
        <f>[4]CONSOLIDADO!F127</f>
        <v>643262956</v>
      </c>
      <c r="G18" s="376">
        <f t="shared" si="0"/>
        <v>0.97621418760193923</v>
      </c>
    </row>
    <row r="19" spans="1:7" ht="34.5" customHeight="1" x14ac:dyDescent="0.2">
      <c r="A19" s="17">
        <v>16</v>
      </c>
      <c r="B19" s="372" t="s">
        <v>155</v>
      </c>
      <c r="C19" s="438">
        <v>6</v>
      </c>
      <c r="D19" s="392">
        <f>[4]CONSOLIDADO!D128</f>
        <v>0.99</v>
      </c>
      <c r="E19" s="440">
        <f>[4]CONSOLIDADO!E128</f>
        <v>390771708</v>
      </c>
      <c r="F19" s="440">
        <f>[4]CONSOLIDADO!F128</f>
        <v>360010496</v>
      </c>
      <c r="G19" s="376">
        <f t="shared" si="0"/>
        <v>0.92128086202187387</v>
      </c>
    </row>
    <row r="20" spans="1:7" ht="37.5" customHeight="1" x14ac:dyDescent="0.2">
      <c r="A20" s="17">
        <v>17</v>
      </c>
      <c r="B20" s="372" t="s">
        <v>156</v>
      </c>
      <c r="C20" s="438">
        <v>9</v>
      </c>
      <c r="D20" s="392">
        <f>[4]CONSOLIDADO!D129</f>
        <v>1</v>
      </c>
      <c r="E20" s="440">
        <f>[4]CONSOLIDADO!E129</f>
        <v>294712000</v>
      </c>
      <c r="F20" s="440">
        <f>[4]CONSOLIDADO!F129</f>
        <v>249002720</v>
      </c>
      <c r="G20" s="376">
        <f t="shared" si="0"/>
        <v>0.84490187030049679</v>
      </c>
    </row>
    <row r="21" spans="1:7" ht="21.95" customHeight="1" x14ac:dyDescent="0.2">
      <c r="A21" s="17">
        <v>18</v>
      </c>
      <c r="B21" s="372" t="s">
        <v>157</v>
      </c>
      <c r="C21" s="438">
        <v>4</v>
      </c>
      <c r="D21" s="392">
        <f>[4]CONSOLIDADO!D130</f>
        <v>1</v>
      </c>
      <c r="E21" s="440">
        <f>[4]CONSOLIDADO!E130</f>
        <v>81154160</v>
      </c>
      <c r="F21" s="440">
        <f>[4]CONSOLIDADO!F130</f>
        <v>65139995</v>
      </c>
      <c r="G21" s="376">
        <f t="shared" si="0"/>
        <v>0.80266982000676246</v>
      </c>
    </row>
    <row r="22" spans="1:7" ht="33.6" customHeight="1" x14ac:dyDescent="0.2">
      <c r="A22" s="17">
        <v>19</v>
      </c>
      <c r="B22" s="372" t="s">
        <v>158</v>
      </c>
      <c r="C22" s="438">
        <v>9</v>
      </c>
      <c r="D22" s="392">
        <f>[4]CONSOLIDADO!D131</f>
        <v>1</v>
      </c>
      <c r="E22" s="440">
        <f>[4]CONSOLIDADO!E131</f>
        <v>1004252206</v>
      </c>
      <c r="F22" s="440">
        <f>[4]CONSOLIDADO!F131</f>
        <v>972740120</v>
      </c>
      <c r="G22" s="376">
        <f t="shared" si="0"/>
        <v>0.96862134251562704</v>
      </c>
    </row>
    <row r="23" spans="1:7" ht="40.5" customHeight="1" x14ac:dyDescent="0.2">
      <c r="A23" s="17">
        <v>20</v>
      </c>
      <c r="B23" s="372" t="s">
        <v>159</v>
      </c>
      <c r="C23" s="438">
        <v>8</v>
      </c>
      <c r="D23" s="392">
        <f>[4]CONSOLIDADO!D132</f>
        <v>1</v>
      </c>
      <c r="E23" s="440">
        <f>[4]CONSOLIDADO!E132</f>
        <v>197064000</v>
      </c>
      <c r="F23" s="440">
        <f>[4]CONSOLIDADO!F132</f>
        <v>178209999</v>
      </c>
      <c r="G23" s="376">
        <f t="shared" si="0"/>
        <v>0.9043254932407746</v>
      </c>
    </row>
    <row r="24" spans="1:7" ht="21.95" customHeight="1" x14ac:dyDescent="0.2">
      <c r="A24" s="17">
        <v>21</v>
      </c>
      <c r="B24" s="372" t="s">
        <v>160</v>
      </c>
      <c r="C24" s="438">
        <v>3</v>
      </c>
      <c r="D24" s="392">
        <f>[4]CONSOLIDADO!D133</f>
        <v>1</v>
      </c>
      <c r="E24" s="440">
        <f>[4]CONSOLIDADO!E133</f>
        <v>132744000</v>
      </c>
      <c r="F24" s="440">
        <f>[4]CONSOLIDADO!F133</f>
        <v>122203326</v>
      </c>
      <c r="G24" s="376">
        <f t="shared" si="0"/>
        <v>0.9205939703489423</v>
      </c>
    </row>
    <row r="25" spans="1:7" ht="35.25" customHeight="1" thickBot="1" x14ac:dyDescent="0.25">
      <c r="A25" s="17">
        <v>22</v>
      </c>
      <c r="B25" s="445" t="s">
        <v>161</v>
      </c>
      <c r="C25" s="446">
        <v>1</v>
      </c>
      <c r="D25" s="398">
        <f>[4]CONSOLIDADO!D134</f>
        <v>1</v>
      </c>
      <c r="E25" s="447">
        <f>[4]CONSOLIDADO!E134</f>
        <v>1764944985</v>
      </c>
      <c r="F25" s="447">
        <f>[4]CONSOLIDADO!F134</f>
        <v>1046032609</v>
      </c>
      <c r="G25" s="380">
        <f t="shared" si="0"/>
        <v>0.59267150981479455</v>
      </c>
    </row>
    <row r="26" spans="1:7" ht="26.25" customHeight="1" thickBot="1" x14ac:dyDescent="0.25">
      <c r="B26" s="381" t="s">
        <v>0</v>
      </c>
      <c r="C26" s="448">
        <f>SUM(C4:C25)</f>
        <v>107</v>
      </c>
      <c r="D26" s="449">
        <f>SUM(D4:D25)/22</f>
        <v>0.99454545454545451</v>
      </c>
      <c r="E26" s="450">
        <f>SUM(E4:E25)</f>
        <v>147432419366.92001</v>
      </c>
      <c r="F26" s="451">
        <f>SUM(F4:F25)</f>
        <v>145176658433.88</v>
      </c>
      <c r="G26" s="385">
        <f t="shared" si="0"/>
        <v>0.98469969534023571</v>
      </c>
    </row>
    <row r="27" spans="1:7" ht="17.100000000000001" hidden="1" customHeight="1" x14ac:dyDescent="0.2">
      <c r="B27" s="231"/>
      <c r="C27" s="232"/>
      <c r="D27" s="233">
        <v>1</v>
      </c>
      <c r="E27" s="234"/>
      <c r="F27" s="38"/>
      <c r="G27" s="233">
        <v>1</v>
      </c>
    </row>
    <row r="28" spans="1:7" hidden="1" x14ac:dyDescent="0.2">
      <c r="B28" s="181"/>
      <c r="C28" s="181"/>
      <c r="D28" s="233">
        <v>0</v>
      </c>
      <c r="G28" s="233">
        <v>0</v>
      </c>
    </row>
    <row r="29" spans="1:7" ht="13.5" thickBot="1" x14ac:dyDescent="0.25">
      <c r="B29" s="181"/>
      <c r="C29" s="181"/>
      <c r="D29" s="181"/>
    </row>
    <row r="30" spans="1:7" ht="15.75" thickBot="1" x14ac:dyDescent="0.25">
      <c r="B30" s="181"/>
      <c r="C30" s="181"/>
      <c r="D30" s="181"/>
      <c r="E30" s="764" t="s">
        <v>16</v>
      </c>
      <c r="F30" s="765"/>
      <c r="G30" s="766"/>
    </row>
    <row r="31" spans="1:7" ht="15.75" thickBot="1" x14ac:dyDescent="0.25">
      <c r="B31" s="181"/>
      <c r="C31" s="181"/>
      <c r="D31" s="181"/>
      <c r="E31" s="282" t="s">
        <v>13</v>
      </c>
      <c r="F31" s="280" t="s">
        <v>14</v>
      </c>
      <c r="G31" s="281" t="s">
        <v>15</v>
      </c>
    </row>
    <row r="32" spans="1:7" ht="15" x14ac:dyDescent="0.2">
      <c r="B32" s="181"/>
      <c r="C32" s="181"/>
      <c r="D32" s="181"/>
      <c r="E32" s="148" t="s">
        <v>345</v>
      </c>
      <c r="F32" s="149">
        <v>105</v>
      </c>
      <c r="G32" s="163">
        <f>F32/F35</f>
        <v>0.98130841121495327</v>
      </c>
    </row>
    <row r="33" spans="2:8" ht="15" x14ac:dyDescent="0.2">
      <c r="B33" s="181"/>
      <c r="C33" s="181"/>
      <c r="D33" s="181"/>
      <c r="E33" s="150" t="s">
        <v>346</v>
      </c>
      <c r="F33" s="151">
        <v>0</v>
      </c>
      <c r="G33" s="163">
        <f>F33/F35</f>
        <v>0</v>
      </c>
      <c r="H33" s="235"/>
    </row>
    <row r="34" spans="2:8" ht="15.75" thickBot="1" x14ac:dyDescent="0.25">
      <c r="B34" s="181"/>
      <c r="C34" s="181"/>
      <c r="D34" s="181"/>
      <c r="E34" s="150" t="s">
        <v>344</v>
      </c>
      <c r="F34" s="153">
        <v>2</v>
      </c>
      <c r="G34" s="163">
        <f>F34/F35</f>
        <v>1.8691588785046728E-2</v>
      </c>
    </row>
    <row r="35" spans="2:8" ht="15.75" thickBot="1" x14ac:dyDescent="0.3">
      <c r="B35" s="181"/>
      <c r="C35" s="181"/>
      <c r="D35" s="181"/>
      <c r="E35" s="426" t="s">
        <v>17</v>
      </c>
      <c r="F35" s="154">
        <f>SUM(F32:F34)</f>
        <v>107</v>
      </c>
      <c r="G35" s="164"/>
    </row>
    <row r="36" spans="2:8" ht="15" thickBot="1" x14ac:dyDescent="0.25">
      <c r="B36" s="181"/>
      <c r="C36" s="181"/>
      <c r="D36" s="181"/>
      <c r="E36" s="452"/>
      <c r="F36" s="452"/>
      <c r="G36" s="453"/>
    </row>
    <row r="37" spans="2:8" ht="15.75" thickBot="1" x14ac:dyDescent="0.25">
      <c r="B37" s="181"/>
      <c r="C37" s="181"/>
      <c r="D37" s="181"/>
      <c r="E37" s="764" t="s">
        <v>19</v>
      </c>
      <c r="F37" s="765"/>
      <c r="G37" s="766"/>
    </row>
    <row r="38" spans="2:8" ht="15.75" thickBot="1" x14ac:dyDescent="0.25">
      <c r="B38" s="181"/>
      <c r="C38" s="181"/>
      <c r="D38" s="181"/>
      <c r="E38" s="454" t="s">
        <v>3</v>
      </c>
      <c r="F38" s="455" t="s">
        <v>4</v>
      </c>
      <c r="G38" s="165" t="s">
        <v>213</v>
      </c>
    </row>
    <row r="39" spans="2:8" ht="15" thickBot="1" x14ac:dyDescent="0.25">
      <c r="B39" s="181"/>
      <c r="C39" s="181"/>
      <c r="D39" s="181"/>
      <c r="E39" s="428">
        <f>E26</f>
        <v>147432419366.92001</v>
      </c>
      <c r="F39" s="456">
        <f>F26</f>
        <v>145176658433.88</v>
      </c>
      <c r="G39" s="70">
        <f>G26</f>
        <v>0.98469969534023571</v>
      </c>
    </row>
    <row r="40" spans="2:8" x14ac:dyDescent="0.2">
      <c r="B40" s="181"/>
      <c r="C40" s="181"/>
      <c r="D40" s="181"/>
    </row>
    <row r="41" spans="2:8" x14ac:dyDescent="0.2">
      <c r="B41" s="181"/>
      <c r="C41" s="181"/>
      <c r="D41" s="181"/>
    </row>
  </sheetData>
  <autoFilter ref="G2:G41"/>
  <mergeCells count="3">
    <mergeCell ref="B2:G2"/>
    <mergeCell ref="E30:G30"/>
    <mergeCell ref="E37:G37"/>
  </mergeCells>
  <conditionalFormatting sqref="D4:D28">
    <cfRule type="colorScale" priority="2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5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7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9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G4:G28">
    <cfRule type="colorScale" priority="1">
      <colorScale>
        <cfvo type="percent" val="75"/>
        <cfvo type="percent" val="90"/>
        <cfvo type="percent" val="100"/>
        <color rgb="FFFF0000"/>
        <color rgb="FFFFFF00"/>
        <color rgb="FF92D050"/>
      </colorScale>
    </cfRule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  <cfRule type="colorScale" priority="6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8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5984" right="0.31496062992125984" top="0.74803149606299213" bottom="1.3385826771653544" header="0.31496062992125984" footer="0.31496062992125984"/>
  <pageSetup paperSize="5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51</vt:i4>
      </vt:variant>
    </vt:vector>
  </HeadingPairs>
  <TitlesOfParts>
    <vt:vector size="79" baseType="lpstr">
      <vt:lpstr> CONSOLIDADO GENERAL</vt:lpstr>
      <vt:lpstr>CONSOLIDADO DESCENTRALIZADOS</vt:lpstr>
      <vt:lpstr> CONSOLIDADO NIVEL CENTRAL </vt:lpstr>
      <vt:lpstr>CONSOLIDADO SECRETARIAS</vt:lpstr>
      <vt:lpstr>CONSOLIDADO D.A</vt:lpstr>
      <vt:lpstr>1.DESPACHO</vt:lpstr>
      <vt:lpstr>2.1 GOBIERNO Y CONVIVENCIA</vt:lpstr>
      <vt:lpstr>2.2 DESARROLLO SOCIAL</vt:lpstr>
      <vt:lpstr>2.3 SALUD</vt:lpstr>
      <vt:lpstr>2.4 DESARROLLO ECONOMICO</vt:lpstr>
      <vt:lpstr>2.5 EDUCACION</vt:lpstr>
      <vt:lpstr>2.6 INFRAESTRUCTURA</vt:lpstr>
      <vt:lpstr>2.7 TRANSITO</vt:lpstr>
      <vt:lpstr>2.8 TICS</vt:lpstr>
      <vt:lpstr>2.9 HACIENDA</vt:lpstr>
      <vt:lpstr>3.1 FORTALECIMIENTO INSTITUCION</vt:lpstr>
      <vt:lpstr>3.2 JURIDICA</vt:lpstr>
      <vt:lpstr>3.4 BIENES Y SUMINISTROS</vt:lpstr>
      <vt:lpstr>3.5 PLANEACION</vt:lpstr>
      <vt:lpstr>3.6 CONTROL INTERNO</vt:lpstr>
      <vt:lpstr>3.7. DACID</vt:lpstr>
      <vt:lpstr>4.1 FOMVIVIENDA</vt:lpstr>
      <vt:lpstr>4.2 EDUA</vt:lpstr>
      <vt:lpstr>4.3 CORPOCULTURA</vt:lpstr>
      <vt:lpstr>4.4 IMDERA</vt:lpstr>
      <vt:lpstr>4.5 EPA</vt:lpstr>
      <vt:lpstr>4.6 AMABLE</vt:lpstr>
      <vt:lpstr>4.7 REDSALUD</vt:lpstr>
      <vt:lpstr>' CONSOLIDADO GENERAL'!Área_de_impresión</vt:lpstr>
      <vt:lpstr>' CONSOLIDADO NIVEL CENTRAL '!Área_de_impresión</vt:lpstr>
      <vt:lpstr>'1.DESPACHO'!Área_de_impresión</vt:lpstr>
      <vt:lpstr>'2.1 GOBIERNO Y CONVIVENCIA'!Área_de_impresión</vt:lpstr>
      <vt:lpstr>'2.2 DESARROLLO SOCIAL'!Área_de_impresión</vt:lpstr>
      <vt:lpstr>'2.3 SALUD'!Área_de_impresión</vt:lpstr>
      <vt:lpstr>'2.4 DESARROLLO ECONOMICO'!Área_de_impresión</vt:lpstr>
      <vt:lpstr>'2.5 EDUCACION'!Área_de_impresión</vt:lpstr>
      <vt:lpstr>'2.6 INFRAESTRUCTURA'!Área_de_impresión</vt:lpstr>
      <vt:lpstr>'2.7 TRANSITO'!Área_de_impresión</vt:lpstr>
      <vt:lpstr>'2.8 TICS'!Área_de_impresión</vt:lpstr>
      <vt:lpstr>'2.9 HACIENDA'!Área_de_impresión</vt:lpstr>
      <vt:lpstr>'3.1 FORTALECIMIENTO INSTITUCION'!Área_de_impresión</vt:lpstr>
      <vt:lpstr>'3.2 JURIDICA'!Área_de_impresión</vt:lpstr>
      <vt:lpstr>'3.4 BIENES Y SUMINISTROS'!Área_de_impresión</vt:lpstr>
      <vt:lpstr>'3.5 PLANEACION'!Área_de_impresión</vt:lpstr>
      <vt:lpstr>'3.6 CONTROL INTERNO'!Área_de_impresión</vt:lpstr>
      <vt:lpstr>'3.7. DACID'!Área_de_impresión</vt:lpstr>
      <vt:lpstr>'4.1 FOMVIVIENDA'!Área_de_impresión</vt:lpstr>
      <vt:lpstr>'4.2 EDUA'!Área_de_impresión</vt:lpstr>
      <vt:lpstr>'4.3 CORPOCULTURA'!Área_de_impresión</vt:lpstr>
      <vt:lpstr>'4.4 IMDERA'!Área_de_impresión</vt:lpstr>
      <vt:lpstr>'4.5 EPA'!Área_de_impresión</vt:lpstr>
      <vt:lpstr>'4.6 AMABLE'!Área_de_impresión</vt:lpstr>
      <vt:lpstr>'4.7 REDSALUD'!Área_de_impresión</vt:lpstr>
      <vt:lpstr>'CONSOLIDADO D.A'!Área_de_impresión</vt:lpstr>
      <vt:lpstr>'CONSOLIDADO DESCENTRALIZADOS'!Área_de_impresión</vt:lpstr>
      <vt:lpstr>'CONSOLIDADO SECRETARIAS'!Área_de_impresión</vt:lpstr>
      <vt:lpstr>' CONSOLIDADO GENERAL'!Títulos_a_imprimir</vt:lpstr>
      <vt:lpstr>' CONSOLIDADO NIVEL CENTRAL '!Títulos_a_imprimir</vt:lpstr>
      <vt:lpstr>'1.DESPACHO'!Títulos_a_imprimir</vt:lpstr>
      <vt:lpstr>'2.1 GOBIERNO Y CONVIVENCIA'!Títulos_a_imprimir</vt:lpstr>
      <vt:lpstr>'2.2 DESARROLLO SOCIAL'!Títulos_a_imprimir</vt:lpstr>
      <vt:lpstr>'2.3 SALUD'!Títulos_a_imprimir</vt:lpstr>
      <vt:lpstr>'2.4 DESARROLLO ECONOMICO'!Títulos_a_imprimir</vt:lpstr>
      <vt:lpstr>'2.5 EDUCACION'!Títulos_a_imprimir</vt:lpstr>
      <vt:lpstr>'2.7 TRANSITO'!Títulos_a_imprimir</vt:lpstr>
      <vt:lpstr>'2.8 TICS'!Títulos_a_imprimir</vt:lpstr>
      <vt:lpstr>'2.9 HACIENDA'!Títulos_a_imprimir</vt:lpstr>
      <vt:lpstr>'3.1 FORTALECIMIENTO INSTITUCION'!Títulos_a_imprimir</vt:lpstr>
      <vt:lpstr>'3.2 JURIDICA'!Títulos_a_imprimir</vt:lpstr>
      <vt:lpstr>'3.4 BIENES Y SUMINISTROS'!Títulos_a_imprimir</vt:lpstr>
      <vt:lpstr>'3.5 PLANEACION'!Títulos_a_imprimir</vt:lpstr>
      <vt:lpstr>'3.6 CONTROL INTERNO'!Títulos_a_imprimir</vt:lpstr>
      <vt:lpstr>'3.7. DACID'!Títulos_a_imprimir</vt:lpstr>
      <vt:lpstr>'4.1 FOMVIVIENDA'!Títulos_a_imprimir</vt:lpstr>
      <vt:lpstr>'4.2 EDUA'!Títulos_a_imprimir</vt:lpstr>
      <vt:lpstr>'4.4 IMDERA'!Títulos_a_imprimir</vt:lpstr>
      <vt:lpstr>'4.5 EPA'!Títulos_a_imprimir</vt:lpstr>
      <vt:lpstr>'4.6 AMABLE'!Títulos_a_imprimir</vt:lpstr>
      <vt:lpstr>'4.7 REDSALUD'!Títulos_a_imprimir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P3-DAPM-004</cp:lastModifiedBy>
  <cp:lastPrinted>2022-04-07T16:50:24Z</cp:lastPrinted>
  <dcterms:created xsi:type="dcterms:W3CDTF">2013-02-17T20:31:37Z</dcterms:created>
  <dcterms:modified xsi:type="dcterms:W3CDTF">2022-04-07T16:51:03Z</dcterms:modified>
</cp:coreProperties>
</file>